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Google Drive\מיילסטון\נכסים\חולון\מרקובצקי 6 חולון\"/>
    </mc:Choice>
  </mc:AlternateContent>
  <bookViews>
    <workbookView xWindow="360" yWindow="48" windowWidth="20736" windowHeight="9972" activeTab="3"/>
  </bookViews>
  <sheets>
    <sheet name="נתונים" sheetId="1" r:id="rId1"/>
    <sheet name="עלויות" sheetId="2" r:id="rId2"/>
    <sheet name="הכנסות" sheetId="3" r:id="rId3"/>
    <sheet name="רווח בפרויקט + רגישות" sheetId="7" r:id="rId4"/>
  </sheets>
  <definedNames>
    <definedName name="_xlnm.Print_Area" localSheetId="2">הכנסות!$A$1:$F$23</definedName>
    <definedName name="_xlnm.Print_Area" localSheetId="0">נתונים!$A$1:$C$24</definedName>
    <definedName name="_xlnm.Print_Area" localSheetId="1">עלויות!$A$1:$D$47</definedName>
  </definedNames>
  <calcPr calcId="162913"/>
</workbook>
</file>

<file path=xl/calcChain.xml><?xml version="1.0" encoding="utf-8"?>
<calcChain xmlns="http://schemas.openxmlformats.org/spreadsheetml/2006/main">
  <c r="B4" i="3" l="1"/>
  <c r="L24" i="3"/>
  <c r="L12" i="3"/>
  <c r="L13" i="3"/>
  <c r="L14" i="3"/>
  <c r="L15" i="3"/>
  <c r="L16" i="3"/>
  <c r="L17" i="3"/>
  <c r="L18" i="3"/>
  <c r="L19" i="3"/>
  <c r="L20" i="3"/>
  <c r="L21" i="3"/>
  <c r="L22" i="3"/>
  <c r="L23" i="3"/>
  <c r="C9" i="2"/>
  <c r="D15" i="2"/>
  <c r="D24" i="3" l="1"/>
  <c r="I20" i="3"/>
  <c r="J20" i="3" s="1"/>
  <c r="I21" i="3"/>
  <c r="J21" i="3" s="1"/>
  <c r="D53" i="2"/>
  <c r="D52" i="2"/>
  <c r="B18" i="1"/>
  <c r="C48" i="2" l="1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26" i="2"/>
  <c r="C20" i="2"/>
  <c r="C21" i="2"/>
  <c r="B6" i="2"/>
  <c r="C6" i="2" s="1"/>
  <c r="C5" i="2"/>
  <c r="B4" i="2"/>
  <c r="B10" i="2" s="1"/>
  <c r="C8" i="2"/>
  <c r="C7" i="2"/>
  <c r="B5" i="2" l="1"/>
  <c r="I12" i="3" l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2" i="3"/>
  <c r="J22" i="3" s="1"/>
  <c r="I23" i="3"/>
  <c r="J23" i="3" s="1"/>
  <c r="B58" i="2"/>
  <c r="B53" i="2"/>
  <c r="C53" i="2" s="1"/>
  <c r="B52" i="2"/>
  <c r="C52" i="2" s="1"/>
  <c r="K24" i="3" l="1"/>
  <c r="J12" i="3"/>
  <c r="J24" i="3" s="1"/>
  <c r="C54" i="2"/>
  <c r="I24" i="3"/>
  <c r="B54" i="2"/>
  <c r="D6" i="7" l="1"/>
  <c r="B47" i="2"/>
  <c r="B49" i="2" s="1"/>
  <c r="C6" i="7"/>
  <c r="B32" i="2"/>
  <c r="B19" i="1"/>
  <c r="B17" i="1"/>
  <c r="B16" i="1"/>
  <c r="C47" i="2" l="1"/>
  <c r="C49" i="2" s="1"/>
  <c r="B44" i="2"/>
  <c r="C32" i="2"/>
  <c r="C44" i="2" s="1"/>
  <c r="B23" i="1"/>
  <c r="C10" i="2"/>
  <c r="C11" i="2" s="1"/>
  <c r="B15" i="2" l="1"/>
  <c r="E19" i="2"/>
  <c r="B19" i="2" s="1"/>
  <c r="B22" i="2" s="1"/>
  <c r="B11" i="2"/>
  <c r="B16" i="2" l="1"/>
  <c r="C15" i="2"/>
  <c r="C16" i="2" s="1"/>
  <c r="C19" i="2"/>
  <c r="B23" i="2"/>
  <c r="E61" i="2" s="1"/>
  <c r="C22" i="2"/>
  <c r="C23" i="2" l="1"/>
  <c r="B61" i="2" l="1"/>
  <c r="B62" i="2" l="1"/>
  <c r="C61" i="2"/>
  <c r="B65" i="2" l="1"/>
  <c r="C62" i="2"/>
  <c r="C65" i="2" l="1"/>
  <c r="D5" i="7" s="1"/>
  <c r="D10" i="7" s="1"/>
  <c r="C5" i="7"/>
  <c r="C10" i="7" l="1"/>
  <c r="G23" i="7"/>
  <c r="F21" i="7"/>
  <c r="D24" i="7"/>
  <c r="E19" i="7"/>
  <c r="F24" i="7"/>
  <c r="E25" i="7"/>
  <c r="F17" i="7"/>
  <c r="H20" i="7"/>
  <c r="F25" i="7"/>
  <c r="F16" i="7"/>
  <c r="E21" i="7"/>
  <c r="H21" i="7"/>
  <c r="D16" i="7"/>
  <c r="D17" i="7"/>
  <c r="E16" i="7"/>
  <c r="H19" i="7"/>
  <c r="G22" i="7"/>
  <c r="G18" i="7"/>
  <c r="D25" i="7"/>
  <c r="G17" i="7"/>
  <c r="D20" i="7"/>
  <c r="E18" i="7"/>
  <c r="H23" i="7"/>
  <c r="G20" i="7"/>
  <c r="F22" i="7"/>
  <c r="G16" i="7"/>
  <c r="H17" i="7"/>
  <c r="F19" i="7"/>
  <c r="D18" i="7"/>
  <c r="H16" i="7"/>
  <c r="G24" i="7"/>
  <c r="E24" i="7"/>
  <c r="D19" i="7"/>
  <c r="H22" i="7"/>
  <c r="F20" i="7"/>
  <c r="G21" i="7"/>
  <c r="F23" i="7"/>
  <c r="H24" i="7"/>
  <c r="E23" i="7"/>
  <c r="D21" i="7"/>
  <c r="H25" i="7"/>
  <c r="G19" i="7"/>
  <c r="H18" i="7"/>
  <c r="E20" i="7"/>
  <c r="D23" i="7"/>
  <c r="D22" i="7"/>
  <c r="F18" i="7"/>
  <c r="E17" i="7"/>
  <c r="E22" i="7"/>
  <c r="G25" i="7"/>
  <c r="D7" i="7"/>
  <c r="D8" i="7"/>
  <c r="C8" i="7" l="1"/>
  <c r="C7" i="7"/>
  <c r="F10" i="7"/>
</calcChain>
</file>

<file path=xl/sharedStrings.xml><?xml version="1.0" encoding="utf-8"?>
<sst xmlns="http://schemas.openxmlformats.org/spreadsheetml/2006/main" count="143" uniqueCount="116">
  <si>
    <t>עלויות</t>
  </si>
  <si>
    <t>תכנון ויועצים</t>
  </si>
  <si>
    <t>תיווך</t>
  </si>
  <si>
    <t>גודל מגרש</t>
  </si>
  <si>
    <t>ניתן לבנות</t>
  </si>
  <si>
    <t>בניינים</t>
  </si>
  <si>
    <t>בצ"מ</t>
  </si>
  <si>
    <t>נתוני הפרויקט</t>
  </si>
  <si>
    <t>קומות מעל כניסה קובעת</t>
  </si>
  <si>
    <t>קומות מתחת לכניסה קובעת</t>
  </si>
  <si>
    <t>סה"כ דירות לבנייה</t>
  </si>
  <si>
    <t>מ"ר עיקרי</t>
  </si>
  <si>
    <t>חישוב עלויות בפרויקט</t>
  </si>
  <si>
    <t>קומה</t>
  </si>
  <si>
    <t>עלות הקרקע</t>
  </si>
  <si>
    <t>מס רכישה</t>
  </si>
  <si>
    <t>משפטיות</t>
  </si>
  <si>
    <t>סה"כ עלות הקרקע</t>
  </si>
  <si>
    <t>חישוב הכנסות בפרויקט</t>
  </si>
  <si>
    <t>מס' דירה</t>
  </si>
  <si>
    <t>תאור הדירה</t>
  </si>
  <si>
    <t>הכנסות</t>
  </si>
  <si>
    <t>מעלויות</t>
  </si>
  <si>
    <t>מהווה</t>
  </si>
  <si>
    <t>רווח:</t>
  </si>
  <si>
    <t>הכנסות:</t>
  </si>
  <si>
    <t>עלויות:</t>
  </si>
  <si>
    <t>גוש חלקה</t>
  </si>
  <si>
    <t>חיבור חשמל</t>
  </si>
  <si>
    <t>סה"כ מ"ר בנייה</t>
  </si>
  <si>
    <t>גודל במ"ר לדירה</t>
  </si>
  <si>
    <t>סה"כ</t>
  </si>
  <si>
    <t>היטל השבחה</t>
  </si>
  <si>
    <t>בנייה ישירה</t>
  </si>
  <si>
    <t>סה"כ מ"ר</t>
  </si>
  <si>
    <t>חניה</t>
  </si>
  <si>
    <t>פינוי פולשים ושונות</t>
  </si>
  <si>
    <t>סה"כ עלות בנייה ישירה כולל בצ"מ</t>
  </si>
  <si>
    <t>מודד</t>
  </si>
  <si>
    <t>מהנדס</t>
  </si>
  <si>
    <t>יועץ חשמל</t>
  </si>
  <si>
    <t>יועץ מיזוג</t>
  </si>
  <si>
    <t>העתקות שמש</t>
  </si>
  <si>
    <t>מכון תקנים</t>
  </si>
  <si>
    <t>עו"ד</t>
  </si>
  <si>
    <t>יועץ אינסטלציה</t>
  </si>
  <si>
    <t>סה"כ עלות תכנון ויועצים</t>
  </si>
  <si>
    <t>שיווק ופרסום</t>
  </si>
  <si>
    <t>עמלת מכירה</t>
  </si>
  <si>
    <t>שמאי</t>
  </si>
  <si>
    <t>סה"כ עלות שיווק ופרסום</t>
  </si>
  <si>
    <t>יועצים נוספים</t>
  </si>
  <si>
    <t>חיבורי חשמל וגז</t>
  </si>
  <si>
    <t>חיבור גז</t>
  </si>
  <si>
    <t>סה"כ יח"ד</t>
  </si>
  <si>
    <t>עלות ליחידה</t>
  </si>
  <si>
    <t>ערבויות</t>
  </si>
  <si>
    <t>סה"כ ערבויות</t>
  </si>
  <si>
    <t>סה"כ עלות חשמל וגז</t>
  </si>
  <si>
    <t>סה"כ עלות ערבויות</t>
  </si>
  <si>
    <t>עלות הכסף</t>
  </si>
  <si>
    <t>ריבית - מימון</t>
  </si>
  <si>
    <t>סה"כ עלות הכסף</t>
  </si>
  <si>
    <t>ריבית</t>
  </si>
  <si>
    <t>סה"כ סכום הלוואה</t>
  </si>
  <si>
    <t>סה"כ עלות הקמת הפרויקט</t>
  </si>
  <si>
    <t>גודל במ"ר גינה</t>
  </si>
  <si>
    <t>גודל במ"ר מרפסת</t>
  </si>
  <si>
    <t>הנחות יסוד</t>
  </si>
  <si>
    <t>שווי מ"ר מרפסות</t>
  </si>
  <si>
    <t>מחסן</t>
  </si>
  <si>
    <t>שווי מרתף דירתי</t>
  </si>
  <si>
    <t>גינה</t>
  </si>
  <si>
    <t>עיקרי</t>
  </si>
  <si>
    <t>מרתף דירתי</t>
  </si>
  <si>
    <t>שווי שוק כולל מע"מ</t>
  </si>
  <si>
    <t>מ"ר אקוויולנטי</t>
  </si>
  <si>
    <t>שווי שוק לפני מע"מ</t>
  </si>
  <si>
    <t>רווח יזמי ביחס לעלות</t>
  </si>
  <si>
    <t>רווח יזמי ביחס לשווי</t>
  </si>
  <si>
    <t>יועץ תנועה</t>
  </si>
  <si>
    <t>יועץ ספרינקלרים</t>
  </si>
  <si>
    <t>מעבדות</t>
  </si>
  <si>
    <t>יועץ בטיחות אש</t>
  </si>
  <si>
    <t>יועץ משכנתא</t>
  </si>
  <si>
    <t>יועץ ביסוס קרקע</t>
  </si>
  <si>
    <t>אדריכלות ועיצוב פנים</t>
  </si>
  <si>
    <t>ניהול ופיקוח</t>
  </si>
  <si>
    <t>הדמיות</t>
  </si>
  <si>
    <t>עלויות לרשויות</t>
  </si>
  <si>
    <t>אגרות בנייה והיטלים</t>
  </si>
  <si>
    <t>ממ"ד</t>
  </si>
  <si>
    <t>מרפסת</t>
  </si>
  <si>
    <t>מרתף</t>
  </si>
  <si>
    <t>שירות</t>
  </si>
  <si>
    <t>הוצאות פיתוח מגרש</t>
  </si>
  <si>
    <t>עלות בנייה ישירה לכל הבניין</t>
  </si>
  <si>
    <t>קרקע</t>
  </si>
  <si>
    <t>עלות לפני מע"מ</t>
  </si>
  <si>
    <t>כולל מע"מ</t>
  </si>
  <si>
    <t>עלות למ"ר לפני מע"מ</t>
  </si>
  <si>
    <t>לפני מע"מ</t>
  </si>
  <si>
    <t>עלות סך הדירות בבניין</t>
  </si>
  <si>
    <t>מיני פנטהאוז</t>
  </si>
  <si>
    <t>דירת גן</t>
  </si>
  <si>
    <t>בדיקת הקרקע- יועץ קרקע (ביסוס)</t>
  </si>
  <si>
    <t>הערות</t>
  </si>
  <si>
    <t>כולל ממדים</t>
  </si>
  <si>
    <t>מחיר למ"ר</t>
  </si>
  <si>
    <t>שווי שוק למ"ר בנוי כולל מע"מ - מחיר למ"ר בנוי</t>
  </si>
  <si>
    <t>נתוני הפרויקט: מרקובצקי 6 חולון</t>
  </si>
  <si>
    <t>בחינה כלכלית</t>
  </si>
  <si>
    <t>ניתוח רגישות הרווח, ₪ ו- % מעלויות</t>
  </si>
  <si>
    <t>סיכום</t>
  </si>
  <si>
    <t>בנייה</t>
  </si>
  <si>
    <t>סך הכל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</si>
</sst>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Heebo"/>
    </font>
    <font>
      <sz val="11"/>
      <color theme="1"/>
      <name val="Heebo"/>
    </font>
    <font>
      <b/>
      <sz val="11"/>
      <color theme="1"/>
      <name val="Heebo"/>
    </font>
    <font>
      <b/>
      <sz val="14"/>
      <color theme="1"/>
      <name val="Heebo"/>
    </font>
    <font>
      <b/>
      <sz val="12"/>
      <name val="Heebo"/>
    </font>
    <font>
      <b/>
      <sz val="20"/>
      <color theme="1"/>
      <name val="Heebo"/>
    </font>
    <font>
      <b/>
      <u/>
      <sz val="11"/>
      <color theme="1"/>
      <name val="Heebo"/>
    </font>
    <font>
      <sz val="10"/>
      <name val="Heebo"/>
    </font>
    <font>
      <b/>
      <u/>
      <sz val="16"/>
      <color theme="1"/>
      <name val="Heebo"/>
    </font>
    <font>
      <b/>
      <u/>
      <sz val="11"/>
      <name val="Heebo"/>
    </font>
    <font>
      <b/>
      <sz val="11"/>
      <name val="Heebo"/>
    </font>
    <font>
      <sz val="11"/>
      <name val="Heebo"/>
    </font>
    <font>
      <b/>
      <sz val="16"/>
      <color theme="1"/>
      <name val="Heebo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3" fillId="0" borderId="0" xfId="0" applyFont="1" applyFill="1"/>
    <xf numFmtId="0" fontId="3" fillId="0" borderId="0" xfId="0" applyFont="1" applyFill="1" applyBorder="1"/>
    <xf numFmtId="0" fontId="3" fillId="0" borderId="3" xfId="0" applyFont="1" applyFill="1" applyBorder="1"/>
    <xf numFmtId="3" fontId="3" fillId="2" borderId="3" xfId="0" applyNumberFormat="1" applyFont="1" applyFill="1" applyBorder="1"/>
    <xf numFmtId="0" fontId="4" fillId="0" borderId="3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Fill="1" applyAlignment="1">
      <alignment horizontal="center" vertical="center"/>
    </xf>
    <xf numFmtId="0" fontId="7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3" xfId="0" applyFont="1" applyBorder="1"/>
    <xf numFmtId="3" fontId="6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0" xfId="0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2" borderId="3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2" applyFont="1"/>
    <xf numFmtId="0" fontId="12" fillId="0" borderId="0" xfId="2" applyFont="1" applyBorder="1"/>
    <xf numFmtId="0" fontId="15" fillId="0" borderId="0" xfId="2" applyFont="1" applyBorder="1"/>
    <xf numFmtId="9" fontId="15" fillId="0" borderId="0" xfId="1" applyFont="1" applyBorder="1"/>
    <xf numFmtId="0" fontId="16" fillId="0" borderId="0" xfId="2" applyFont="1"/>
    <xf numFmtId="3" fontId="16" fillId="0" borderId="5" xfId="4" applyNumberFormat="1" applyFont="1" applyBorder="1" applyAlignment="1">
      <alignment horizontal="center"/>
    </xf>
    <xf numFmtId="3" fontId="16" fillId="0" borderId="0" xfId="4" applyNumberFormat="1" applyFont="1" applyBorder="1" applyAlignment="1">
      <alignment horizontal="center"/>
    </xf>
    <xf numFmtId="3" fontId="16" fillId="3" borderId="5" xfId="4" applyNumberFormat="1" applyFont="1" applyFill="1" applyBorder="1" applyAlignment="1">
      <alignment horizontal="center"/>
    </xf>
    <xf numFmtId="10" fontId="16" fillId="0" borderId="4" xfId="3" applyNumberFormat="1" applyFont="1" applyBorder="1" applyAlignment="1">
      <alignment horizontal="center"/>
    </xf>
    <xf numFmtId="10" fontId="16" fillId="0" borderId="0" xfId="3" applyNumberFormat="1" applyFont="1" applyBorder="1" applyAlignment="1">
      <alignment horizontal="center"/>
    </xf>
    <xf numFmtId="10" fontId="14" fillId="3" borderId="4" xfId="3" applyNumberFormat="1" applyFont="1" applyFill="1" applyBorder="1" applyAlignment="1">
      <alignment horizontal="center"/>
    </xf>
    <xf numFmtId="3" fontId="16" fillId="0" borderId="11" xfId="4" applyNumberFormat="1" applyFont="1" applyBorder="1" applyAlignment="1">
      <alignment horizontal="center"/>
    </xf>
    <xf numFmtId="10" fontId="16" fillId="0" borderId="11" xfId="3" applyNumberFormat="1" applyFont="1" applyBorder="1" applyAlignment="1">
      <alignment horizontal="center"/>
    </xf>
    <xf numFmtId="10" fontId="16" fillId="0" borderId="1" xfId="3" applyNumberFormat="1" applyFont="1" applyBorder="1" applyAlignment="1">
      <alignment horizontal="center"/>
    </xf>
    <xf numFmtId="0" fontId="15" fillId="0" borderId="3" xfId="2" applyFont="1" applyBorder="1"/>
    <xf numFmtId="164" fontId="15" fillId="0" borderId="3" xfId="4" applyNumberFormat="1" applyFont="1" applyBorder="1"/>
    <xf numFmtId="9" fontId="16" fillId="0" borderId="3" xfId="1" applyFont="1" applyBorder="1" applyAlignment="1">
      <alignment horizontal="center"/>
    </xf>
    <xf numFmtId="0" fontId="9" fillId="0" borderId="12" xfId="0" applyFont="1" applyFill="1" applyBorder="1" applyAlignment="1">
      <alignment horizontal="center" wrapText="1" readingOrder="2"/>
    </xf>
    <xf numFmtId="0" fontId="9" fillId="0" borderId="4" xfId="0" applyFont="1" applyFill="1" applyBorder="1" applyAlignment="1">
      <alignment horizontal="center" wrapText="1" readingOrder="2"/>
    </xf>
    <xf numFmtId="0" fontId="9" fillId="0" borderId="13" xfId="0" applyFont="1" applyFill="1" applyBorder="1" applyAlignment="1">
      <alignment horizontal="center" wrapText="1" readingOrder="2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165" fontId="6" fillId="0" borderId="0" xfId="0" applyNumberFormat="1" applyFont="1"/>
    <xf numFmtId="9" fontId="6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9" fontId="15" fillId="0" borderId="3" xfId="2" applyNumberFormat="1" applyFont="1" applyBorder="1" applyAlignment="1">
      <alignment horizontal="center" vertical="center" wrapText="1"/>
    </xf>
    <xf numFmtId="9" fontId="15" fillId="0" borderId="5" xfId="2" applyNumberFormat="1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9" fontId="15" fillId="0" borderId="8" xfId="2" applyNumberFormat="1" applyFont="1" applyBorder="1" applyAlignment="1">
      <alignment horizontal="center" vertical="center" wrapText="1"/>
    </xf>
    <xf numFmtId="0" fontId="0" fillId="0" borderId="3" xfId="0" applyBorder="1"/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5" fillId="0" borderId="21" xfId="2" applyFont="1" applyBorder="1"/>
    <xf numFmtId="0" fontId="15" fillId="0" borderId="22" xfId="2" applyFont="1" applyBorder="1"/>
    <xf numFmtId="164" fontId="15" fillId="0" borderId="22" xfId="4" applyNumberFormat="1" applyFont="1" applyBorder="1"/>
    <xf numFmtId="10" fontId="15" fillId="2" borderId="22" xfId="3" applyNumberFormat="1" applyFont="1" applyFill="1" applyBorder="1"/>
    <xf numFmtId="0" fontId="15" fillId="0" borderId="23" xfId="2" applyFont="1" applyBorder="1"/>
    <xf numFmtId="0" fontId="6" fillId="0" borderId="4" xfId="0" applyFont="1" applyBorder="1"/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/>
    </xf>
    <xf numFmtId="0" fontId="6" fillId="2" borderId="4" xfId="0" applyFont="1" applyFill="1" applyBorder="1"/>
    <xf numFmtId="0" fontId="7" fillId="5" borderId="24" xfId="0" applyFont="1" applyFill="1" applyBorder="1"/>
    <xf numFmtId="0" fontId="7" fillId="5" borderId="25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right"/>
    </xf>
    <xf numFmtId="0" fontId="7" fillId="5" borderId="26" xfId="0" applyFont="1" applyFill="1" applyBorder="1"/>
    <xf numFmtId="0" fontId="6" fillId="0" borderId="4" xfId="0" applyFont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5" xfId="0" applyFont="1" applyFill="1" applyBorder="1"/>
    <xf numFmtId="3" fontId="7" fillId="5" borderId="25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6" fillId="5" borderId="26" xfId="0" applyFont="1" applyFill="1" applyBorder="1" applyAlignment="1">
      <alignment horizontal="right"/>
    </xf>
    <xf numFmtId="164" fontId="6" fillId="0" borderId="4" xfId="5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164" fontId="6" fillId="2" borderId="4" xfId="5" applyNumberFormat="1" applyFont="1" applyFill="1" applyBorder="1"/>
    <xf numFmtId="0" fontId="7" fillId="0" borderId="4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5" borderId="21" xfId="0" applyFont="1" applyFill="1" applyBorder="1"/>
    <xf numFmtId="0" fontId="3" fillId="0" borderId="4" xfId="0" applyFont="1" applyFill="1" applyBorder="1"/>
    <xf numFmtId="0" fontId="3" fillId="2" borderId="4" xfId="0" applyFont="1" applyFill="1" applyBorder="1" applyAlignment="1">
      <alignment horizontal="right"/>
    </xf>
    <xf numFmtId="0" fontId="4" fillId="5" borderId="24" xfId="0" applyFont="1" applyFill="1" applyBorder="1"/>
    <xf numFmtId="0" fontId="4" fillId="5" borderId="26" xfId="0" applyFont="1" applyFill="1" applyBorder="1"/>
    <xf numFmtId="3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0" fillId="0" borderId="4" xfId="0" applyBorder="1"/>
    <xf numFmtId="3" fontId="4" fillId="5" borderId="25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/>
    <xf numFmtId="3" fontId="3" fillId="2" borderId="4" xfId="0" applyNumberFormat="1" applyFont="1" applyFill="1" applyBorder="1" applyAlignment="1">
      <alignment horizontal="center" vertical="center" wrapText="1"/>
    </xf>
    <xf numFmtId="3" fontId="4" fillId="5" borderId="26" xfId="0" applyNumberFormat="1" applyFont="1" applyFill="1" applyBorder="1"/>
    <xf numFmtId="3" fontId="16" fillId="0" borderId="3" xfId="0" applyNumberFormat="1" applyFont="1" applyFill="1" applyBorder="1" applyAlignment="1">
      <alignment horizontal="center" readingOrder="1"/>
    </xf>
    <xf numFmtId="0" fontId="16" fillId="2" borderId="9" xfId="0" applyFont="1" applyFill="1" applyBorder="1" applyAlignment="1">
      <alignment readingOrder="1"/>
    </xf>
    <xf numFmtId="0" fontId="16" fillId="2" borderId="3" xfId="0" applyFont="1" applyFill="1" applyBorder="1" applyAlignment="1">
      <alignment readingOrder="1"/>
    </xf>
    <xf numFmtId="0" fontId="16" fillId="2" borderId="3" xfId="0" applyFont="1" applyFill="1" applyBorder="1" applyAlignment="1">
      <alignment readingOrder="2"/>
    </xf>
    <xf numFmtId="3" fontId="16" fillId="2" borderId="3" xfId="0" applyNumberFormat="1" applyFont="1" applyFill="1" applyBorder="1" applyAlignment="1">
      <alignment horizontal="center" vertical="center" wrapText="1" readingOrder="1"/>
    </xf>
    <xf numFmtId="3" fontId="16" fillId="0" borderId="3" xfId="0" applyNumberFormat="1" applyFont="1" applyFill="1" applyBorder="1" applyAlignment="1">
      <alignment horizontal="center" vertical="center" wrapText="1" readingOrder="1"/>
    </xf>
    <xf numFmtId="3" fontId="16" fillId="0" borderId="8" xfId="0" applyNumberFormat="1" applyFont="1" applyFill="1" applyBorder="1" applyAlignment="1">
      <alignment horizontal="center" vertical="center" wrapText="1" readingOrder="1"/>
    </xf>
    <xf numFmtId="3" fontId="16" fillId="2" borderId="3" xfId="0" applyNumberFormat="1" applyFont="1" applyFill="1" applyBorder="1" applyAlignment="1">
      <alignment readingOrder="1"/>
    </xf>
    <xf numFmtId="3" fontId="16" fillId="0" borderId="3" xfId="0" applyNumberFormat="1" applyFont="1" applyFill="1" applyBorder="1" applyAlignment="1">
      <alignment readingOrder="1"/>
    </xf>
    <xf numFmtId="0" fontId="16" fillId="2" borderId="3" xfId="0" applyFont="1" applyFill="1" applyBorder="1" applyAlignment="1">
      <alignment horizontal="right" readingOrder="1"/>
    </xf>
  </cellXfs>
  <cellStyles count="6">
    <cellStyle name="Comma" xfId="5" builtinId="3"/>
    <cellStyle name="Comma 2" xfId="4"/>
    <cellStyle name="Normal" xfId="0" builtinId="0"/>
    <cellStyle name="Normal 2" xfId="2"/>
    <cellStyle name="Percent" xfId="1" builtinId="5"/>
    <cellStyle name="Percent 2" xfId="3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Heeb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ebo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eeb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11:L24" totalsRowCount="1" headerRowDxfId="29" dataDxfId="28" totalsRowDxfId="27" headerRowBorderDxfId="25" tableBorderDxfId="26" totalsRowBorderDxfId="24">
  <autoFilter ref="A11:L23"/>
  <tableColumns count="12">
    <tableColumn id="1" name="מס' דירה" totalsRowLabel="סה&quot;כ" dataDxfId="23" totalsRowDxfId="22"/>
    <tableColumn id="2" name="קומה" dataDxfId="21" totalsRowDxfId="20"/>
    <tableColumn id="3" name="תאור הדירה" dataDxfId="19" totalsRowDxfId="18"/>
    <tableColumn id="4" name="מ&quot;ר עיקרי" totalsRowFunction="sum" dataDxfId="17" totalsRowDxfId="16"/>
    <tableColumn id="5" name="גודל במ&quot;ר גינה" dataDxfId="15" totalsRowDxfId="14"/>
    <tableColumn id="6" name="גודל במ&quot;ר מרפסת" dataDxfId="13" totalsRowDxfId="12"/>
    <tableColumn id="7" name="מרתף דירתי" dataDxfId="11" totalsRowDxfId="10"/>
    <tableColumn id="8" name="מחסן" dataDxfId="9" totalsRowDxfId="8"/>
    <tableColumn id="9" name="מ&quot;ר אקוויולנטי" totalsRowFunction="sum" dataDxfId="7" totalsRowDxfId="6">
      <calculatedColumnFormula>(D12*$B$9)+(E12*$B$8)+(F12*$B$5)+(G12*$B$6)+(H12*$B$7)</calculatedColumnFormula>
    </tableColumn>
    <tableColumn id="11" name="שווי שוק לפני מע&quot;מ" totalsRowFunction="sum" dataDxfId="5" totalsRowDxfId="4">
      <calculatedColumnFormula>טבלה1[[#This Row],[שווי שוק כולל מע"מ]]/1.17</calculatedColumnFormula>
    </tableColumn>
    <tableColumn id="12" name="שווי שוק כולל מע&quot;מ" totalsRowFunction="sum" dataDxfId="3" totalsRowDxfId="2">
      <calculatedColumnFormula>I12*$B$4</calculatedColumnFormula>
    </tableColumn>
    <tableColumn id="10" name="מחיר למ&quot;ר" totalsRowFunction="average" dataDxfId="1" totalsRowDxfId="0">
      <calculatedColumnFormula>טבלה1[[#This Row],[שווי שוק כולל מע"מ]]/טבלה1[[#This Row],[מ"ר אקוויולנטי]]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4"/>
  <sheetViews>
    <sheetView rightToLeft="1" workbookViewId="0">
      <selection activeCell="A18" sqref="A18"/>
    </sheetView>
  </sheetViews>
  <sheetFormatPr defaultRowHeight="13.8" x14ac:dyDescent="0.25"/>
  <cols>
    <col min="1" max="1" width="44" bestFit="1" customWidth="1"/>
    <col min="2" max="2" width="7.09765625" customWidth="1"/>
    <col min="3" max="3" width="13.5" bestFit="1" customWidth="1"/>
  </cols>
  <sheetData>
    <row r="1" spans="1:4" ht="48.75" customHeight="1" thickBot="1" x14ac:dyDescent="0.3">
      <c r="A1" s="86" t="s">
        <v>110</v>
      </c>
      <c r="B1" s="87"/>
      <c r="C1" s="87"/>
      <c r="D1" s="88"/>
    </row>
    <row r="2" spans="1:4" x14ac:dyDescent="0.25">
      <c r="A2" s="2"/>
      <c r="B2" s="2"/>
      <c r="C2" s="2"/>
    </row>
    <row r="3" spans="1:4" ht="14.4" thickBot="1" x14ac:dyDescent="0.3">
      <c r="A3" s="3"/>
      <c r="B3" s="3"/>
      <c r="C3" s="3"/>
    </row>
    <row r="4" spans="1:4" ht="14.4" thickBot="1" x14ac:dyDescent="0.3">
      <c r="A4" s="129" t="s">
        <v>7</v>
      </c>
      <c r="B4" s="130"/>
      <c r="C4" s="3"/>
    </row>
    <row r="5" spans="1:4" x14ac:dyDescent="0.25">
      <c r="A5" s="127" t="s">
        <v>27</v>
      </c>
      <c r="B5" s="128">
        <v>7169</v>
      </c>
      <c r="C5" s="3"/>
    </row>
    <row r="6" spans="1:4" x14ac:dyDescent="0.25">
      <c r="A6" s="4" t="s">
        <v>3</v>
      </c>
      <c r="B6" s="5">
        <v>143</v>
      </c>
      <c r="C6" s="3"/>
    </row>
    <row r="7" spans="1:4" x14ac:dyDescent="0.25">
      <c r="A7" s="3"/>
      <c r="B7" s="3"/>
      <c r="C7" s="3"/>
      <c r="D7" s="1"/>
    </row>
    <row r="8" spans="1:4" ht="14.4" thickBot="1" x14ac:dyDescent="0.3">
      <c r="A8" s="3"/>
      <c r="B8" s="3"/>
      <c r="C8" s="3"/>
      <c r="D8" s="1"/>
    </row>
    <row r="9" spans="1:4" ht="14.4" thickBot="1" x14ac:dyDescent="0.3">
      <c r="A9" s="129" t="s">
        <v>4</v>
      </c>
      <c r="B9" s="137" t="s">
        <v>31</v>
      </c>
      <c r="C9" s="1"/>
    </row>
    <row r="10" spans="1:4" x14ac:dyDescent="0.25">
      <c r="A10" s="127" t="s">
        <v>5</v>
      </c>
      <c r="B10" s="136">
        <v>1</v>
      </c>
      <c r="C10" s="1"/>
    </row>
    <row r="11" spans="1:4" x14ac:dyDescent="0.25">
      <c r="A11" s="4" t="s">
        <v>8</v>
      </c>
      <c r="B11" s="8">
        <v>5</v>
      </c>
      <c r="C11" s="1"/>
    </row>
    <row r="12" spans="1:4" x14ac:dyDescent="0.25">
      <c r="A12" s="4" t="s">
        <v>9</v>
      </c>
      <c r="B12" s="8">
        <v>1</v>
      </c>
      <c r="C12" s="1"/>
    </row>
    <row r="13" spans="1:4" x14ac:dyDescent="0.25">
      <c r="A13" s="4" t="s">
        <v>10</v>
      </c>
      <c r="B13" s="8">
        <v>12</v>
      </c>
      <c r="C13" s="1"/>
    </row>
    <row r="14" spans="1:4" ht="14.4" thickBot="1" x14ac:dyDescent="0.3">
      <c r="A14" s="3"/>
      <c r="B14" s="9"/>
      <c r="C14" s="3"/>
      <c r="D14" s="1"/>
    </row>
    <row r="15" spans="1:4" ht="14.4" thickBot="1" x14ac:dyDescent="0.3">
      <c r="A15" s="129" t="s">
        <v>114</v>
      </c>
      <c r="B15" s="134" t="s">
        <v>115</v>
      </c>
      <c r="C15" s="135" t="s">
        <v>30</v>
      </c>
      <c r="D15" s="130" t="s">
        <v>106</v>
      </c>
    </row>
    <row r="16" spans="1:4" x14ac:dyDescent="0.25">
      <c r="A16" s="127" t="s">
        <v>91</v>
      </c>
      <c r="B16" s="131">
        <f>C16*B13</f>
        <v>0</v>
      </c>
      <c r="C16" s="132">
        <v>0</v>
      </c>
      <c r="D16" s="133"/>
    </row>
    <row r="17" spans="1:4" x14ac:dyDescent="0.25">
      <c r="A17" s="4" t="s">
        <v>70</v>
      </c>
      <c r="B17" s="11">
        <f>C17*B13</f>
        <v>0</v>
      </c>
      <c r="C17" s="7">
        <v>0</v>
      </c>
      <c r="D17" s="85"/>
    </row>
    <row r="18" spans="1:4" x14ac:dyDescent="0.25">
      <c r="A18" s="4" t="s">
        <v>73</v>
      </c>
      <c r="B18" s="11">
        <f>C18*B13</f>
        <v>972</v>
      </c>
      <c r="C18" s="7">
        <v>81</v>
      </c>
      <c r="D18" s="85" t="s">
        <v>107</v>
      </c>
    </row>
    <row r="19" spans="1:4" x14ac:dyDescent="0.25">
      <c r="A19" s="4" t="s">
        <v>92</v>
      </c>
      <c r="B19" s="11">
        <f>C19*B13</f>
        <v>168</v>
      </c>
      <c r="C19" s="7">
        <v>14</v>
      </c>
      <c r="D19" s="85"/>
    </row>
    <row r="20" spans="1:4" x14ac:dyDescent="0.25">
      <c r="A20" s="4" t="s">
        <v>93</v>
      </c>
      <c r="B20" s="8">
        <v>510</v>
      </c>
      <c r="C20" s="4"/>
      <c r="D20" s="85"/>
    </row>
    <row r="21" spans="1:4" x14ac:dyDescent="0.25">
      <c r="A21" s="4" t="s">
        <v>94</v>
      </c>
      <c r="B21" s="8">
        <v>167</v>
      </c>
      <c r="C21" s="4"/>
      <c r="D21" s="85"/>
    </row>
    <row r="22" spans="1:4" x14ac:dyDescent="0.25">
      <c r="A22" s="4"/>
      <c r="B22" s="11"/>
      <c r="C22" s="4"/>
      <c r="D22" s="85"/>
    </row>
    <row r="23" spans="1:4" x14ac:dyDescent="0.25">
      <c r="A23" s="6" t="s">
        <v>29</v>
      </c>
      <c r="B23" s="10">
        <f>B22+B21+B20+B19+B18+B17+B16</f>
        <v>1817</v>
      </c>
      <c r="C23" s="4"/>
      <c r="D23" s="85"/>
    </row>
    <row r="24" spans="1:4" x14ac:dyDescent="0.25">
      <c r="A24" s="3"/>
      <c r="B24" s="3"/>
      <c r="C24" s="3"/>
      <c r="D24" s="1"/>
    </row>
    <row r="32" spans="1:4" x14ac:dyDescent="0.25">
      <c r="D32" s="1"/>
    </row>
    <row r="33" spans="4:4" x14ac:dyDescent="0.25">
      <c r="D33" s="1"/>
    </row>
    <row r="34" spans="4:4" x14ac:dyDescent="0.25">
      <c r="D34" s="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5"/>
  <sheetViews>
    <sheetView rightToLeft="1" zoomScaleNormal="100" workbookViewId="0">
      <pane ySplit="1" topLeftCell="A38" activePane="bottomLeft" state="frozen"/>
      <selection pane="bottomLeft" activeCell="A67" sqref="A67"/>
    </sheetView>
  </sheetViews>
  <sheetFormatPr defaultColWidth="9.09765625" defaultRowHeight="17.399999999999999" x14ac:dyDescent="0.5"/>
  <cols>
    <col min="1" max="1" width="27.3984375" style="12" bestFit="1" customWidth="1"/>
    <col min="2" max="2" width="13.296875" style="28" bestFit="1" customWidth="1"/>
    <col min="3" max="3" width="9.8984375" style="27" bestFit="1" customWidth="1"/>
    <col min="4" max="4" width="17.5" style="12" bestFit="1" customWidth="1"/>
    <col min="5" max="5" width="15.296875" style="12" bestFit="1" customWidth="1"/>
    <col min="6" max="16384" width="9.09765625" style="12"/>
  </cols>
  <sheetData>
    <row r="1" spans="1:5" ht="54.75" customHeight="1" thickBot="1" x14ac:dyDescent="0.55000000000000004">
      <c r="A1" s="86" t="s">
        <v>12</v>
      </c>
      <c r="B1" s="87"/>
      <c r="C1" s="87"/>
      <c r="D1" s="87"/>
      <c r="E1" s="88"/>
    </row>
    <row r="2" spans="1:5" ht="14.25" customHeight="1" thickBot="1" x14ac:dyDescent="0.55000000000000004">
      <c r="A2" s="13"/>
      <c r="B2" s="13"/>
      <c r="C2" s="13"/>
      <c r="D2" s="13"/>
    </row>
    <row r="3" spans="1:5" ht="18" thickBot="1" x14ac:dyDescent="0.55000000000000004">
      <c r="A3" s="107" t="s">
        <v>14</v>
      </c>
      <c r="B3" s="108" t="s">
        <v>98</v>
      </c>
      <c r="C3" s="108" t="s">
        <v>99</v>
      </c>
      <c r="D3" s="120"/>
      <c r="E3" s="16"/>
    </row>
    <row r="4" spans="1:5" x14ac:dyDescent="0.5">
      <c r="A4" s="103" t="s">
        <v>102</v>
      </c>
      <c r="B4" s="104">
        <f>C4/1.17</f>
        <v>6410256.4102564109</v>
      </c>
      <c r="C4" s="104">
        <v>7500000</v>
      </c>
      <c r="D4" s="119"/>
      <c r="E4" s="16"/>
    </row>
    <row r="5" spans="1:5" x14ac:dyDescent="0.5">
      <c r="A5" s="17" t="s">
        <v>15</v>
      </c>
      <c r="B5" s="18">
        <f>C5/1.17</f>
        <v>512820.51282051287</v>
      </c>
      <c r="C5" s="18">
        <f>C4*D5</f>
        <v>600000</v>
      </c>
      <c r="D5" s="15">
        <v>0.08</v>
      </c>
      <c r="E5" s="16"/>
    </row>
    <row r="6" spans="1:5" x14ac:dyDescent="0.5">
      <c r="A6" s="17" t="s">
        <v>2</v>
      </c>
      <c r="B6" s="18">
        <f>C4*D6</f>
        <v>75000</v>
      </c>
      <c r="C6" s="18">
        <f>B6*1.17</f>
        <v>87750</v>
      </c>
      <c r="D6" s="62">
        <v>0.01</v>
      </c>
      <c r="E6" s="16"/>
    </row>
    <row r="7" spans="1:5" x14ac:dyDescent="0.5">
      <c r="A7" s="17" t="s">
        <v>38</v>
      </c>
      <c r="B7" s="18">
        <v>2500</v>
      </c>
      <c r="C7" s="18">
        <f>B7*1.17</f>
        <v>2925</v>
      </c>
      <c r="D7" s="62"/>
      <c r="E7" s="16"/>
    </row>
    <row r="8" spans="1:5" x14ac:dyDescent="0.5">
      <c r="A8" s="17" t="s">
        <v>105</v>
      </c>
      <c r="B8" s="18">
        <v>1500</v>
      </c>
      <c r="C8" s="18">
        <f>B8*1.17</f>
        <v>1755</v>
      </c>
      <c r="D8" s="15"/>
      <c r="E8" s="16"/>
    </row>
    <row r="9" spans="1:5" x14ac:dyDescent="0.5">
      <c r="A9" s="17" t="s">
        <v>36</v>
      </c>
      <c r="B9" s="18">
        <v>0</v>
      </c>
      <c r="C9" s="18">
        <f>B9*1.17</f>
        <v>0</v>
      </c>
      <c r="D9" s="15"/>
      <c r="E9" s="16"/>
    </row>
    <row r="10" spans="1:5" x14ac:dyDescent="0.5">
      <c r="A10" s="17" t="s">
        <v>16</v>
      </c>
      <c r="B10" s="18">
        <f>D10*B4</f>
        <v>32051.282051282054</v>
      </c>
      <c r="C10" s="18">
        <f>B10*1.17</f>
        <v>37500</v>
      </c>
      <c r="D10" s="63">
        <v>5.0000000000000001E-3</v>
      </c>
      <c r="E10" s="16"/>
    </row>
    <row r="11" spans="1:5" s="26" customFormat="1" x14ac:dyDescent="0.5">
      <c r="A11" s="14" t="s">
        <v>17</v>
      </c>
      <c r="B11" s="19">
        <f>SUM(B4:B10)</f>
        <v>7034128.2051282059</v>
      </c>
      <c r="C11" s="19">
        <f>SUM(C4:C10)</f>
        <v>8229930</v>
      </c>
      <c r="D11" s="15"/>
      <c r="E11" s="16"/>
    </row>
    <row r="12" spans="1:5" ht="18" thickBot="1" x14ac:dyDescent="0.55000000000000004">
      <c r="A12" s="16"/>
      <c r="B12" s="20"/>
      <c r="C12" s="21"/>
      <c r="D12" s="16"/>
    </row>
    <row r="13" spans="1:5" ht="18" thickBot="1" x14ac:dyDescent="0.55000000000000004">
      <c r="A13" s="107" t="s">
        <v>89</v>
      </c>
      <c r="B13" s="108" t="s">
        <v>98</v>
      </c>
      <c r="C13" s="108" t="s">
        <v>99</v>
      </c>
      <c r="D13" s="109" t="s">
        <v>100</v>
      </c>
      <c r="E13" s="110" t="s">
        <v>99</v>
      </c>
    </row>
    <row r="14" spans="1:5" x14ac:dyDescent="0.5">
      <c r="A14" s="118" t="s">
        <v>32</v>
      </c>
      <c r="B14" s="104">
        <v>0</v>
      </c>
      <c r="C14" s="104"/>
      <c r="D14" s="119"/>
      <c r="E14" s="118"/>
    </row>
    <row r="15" spans="1:5" x14ac:dyDescent="0.5">
      <c r="A15" s="23" t="s">
        <v>90</v>
      </c>
      <c r="B15" s="18">
        <f>D15*נתונים!B23</f>
        <v>465897.43589743588</v>
      </c>
      <c r="C15" s="18">
        <f>B15*1.17</f>
        <v>545100</v>
      </c>
      <c r="D15" s="18">
        <f>E15/1.17</f>
        <v>256.41025641025641</v>
      </c>
      <c r="E15" s="23">
        <v>300</v>
      </c>
    </row>
    <row r="16" spans="1:5" x14ac:dyDescent="0.5">
      <c r="A16" s="14" t="s">
        <v>31</v>
      </c>
      <c r="B16" s="19">
        <f>B15+B14</f>
        <v>465897.43589743588</v>
      </c>
      <c r="C16" s="19">
        <f>C15+C14</f>
        <v>545100</v>
      </c>
      <c r="D16" s="22"/>
      <c r="E16" s="23"/>
    </row>
    <row r="17" spans="1:5" ht="18" thickBot="1" x14ac:dyDescent="0.55000000000000004">
      <c r="A17" s="16"/>
      <c r="B17" s="20"/>
      <c r="C17" s="21"/>
      <c r="D17" s="16"/>
    </row>
    <row r="18" spans="1:5" ht="18" thickBot="1" x14ac:dyDescent="0.55000000000000004">
      <c r="A18" s="107" t="s">
        <v>33</v>
      </c>
      <c r="B18" s="114" t="s">
        <v>98</v>
      </c>
      <c r="C18" s="114" t="s">
        <v>99</v>
      </c>
      <c r="D18" s="109" t="s">
        <v>100</v>
      </c>
      <c r="E18" s="110" t="s">
        <v>34</v>
      </c>
    </row>
    <row r="19" spans="1:5" x14ac:dyDescent="0.5">
      <c r="A19" s="103" t="s">
        <v>96</v>
      </c>
      <c r="B19" s="104">
        <f>D19*E19</f>
        <v>11810500</v>
      </c>
      <c r="C19" s="104">
        <f>B19*1.17</f>
        <v>13818285</v>
      </c>
      <c r="D19" s="116">
        <v>6500</v>
      </c>
      <c r="E19" s="117">
        <f>נתונים!B23</f>
        <v>1817</v>
      </c>
    </row>
    <row r="20" spans="1:5" x14ac:dyDescent="0.5">
      <c r="A20" s="17" t="s">
        <v>35</v>
      </c>
      <c r="B20" s="18">
        <v>0</v>
      </c>
      <c r="C20" s="18">
        <f t="shared" ref="C20:C22" si="0">B20*1.17</f>
        <v>0</v>
      </c>
      <c r="D20" s="15"/>
      <c r="E20" s="23"/>
    </row>
    <row r="21" spans="1:5" x14ac:dyDescent="0.5">
      <c r="A21" s="17" t="s">
        <v>95</v>
      </c>
      <c r="B21" s="18">
        <v>0</v>
      </c>
      <c r="C21" s="18">
        <f t="shared" si="0"/>
        <v>0</v>
      </c>
      <c r="D21" s="15"/>
      <c r="E21" s="23"/>
    </row>
    <row r="22" spans="1:5" x14ac:dyDescent="0.5">
      <c r="A22" s="17" t="s">
        <v>6</v>
      </c>
      <c r="B22" s="18">
        <f>B19*D22</f>
        <v>826735.00000000012</v>
      </c>
      <c r="C22" s="18">
        <f t="shared" si="0"/>
        <v>967279.95000000007</v>
      </c>
      <c r="D22" s="62">
        <v>7.0000000000000007E-2</v>
      </c>
      <c r="E22" s="23"/>
    </row>
    <row r="23" spans="1:5" x14ac:dyDescent="0.5">
      <c r="A23" s="14" t="s">
        <v>37</v>
      </c>
      <c r="B23" s="19">
        <f>B22+B21+B20+B19</f>
        <v>12637235</v>
      </c>
      <c r="C23" s="19">
        <f>C22+C21+C20+C19</f>
        <v>14785564.949999999</v>
      </c>
      <c r="D23" s="15"/>
      <c r="E23" s="23"/>
    </row>
    <row r="24" spans="1:5" ht="18" thickBot="1" x14ac:dyDescent="0.55000000000000004">
      <c r="A24" s="16"/>
      <c r="B24" s="20"/>
      <c r="C24" s="21"/>
      <c r="D24" s="16"/>
    </row>
    <row r="25" spans="1:5" ht="18" thickBot="1" x14ac:dyDescent="0.55000000000000004">
      <c r="A25" s="107" t="s">
        <v>1</v>
      </c>
      <c r="B25" s="114" t="s">
        <v>98</v>
      </c>
      <c r="C25" s="115" t="s">
        <v>99</v>
      </c>
    </row>
    <row r="26" spans="1:5" x14ac:dyDescent="0.5">
      <c r="A26" s="103" t="s">
        <v>86</v>
      </c>
      <c r="B26" s="104">
        <v>200000</v>
      </c>
      <c r="C26" s="104">
        <f>B26*1.17</f>
        <v>234000</v>
      </c>
    </row>
    <row r="27" spans="1:5" x14ac:dyDescent="0.5">
      <c r="A27" s="17" t="s">
        <v>38</v>
      </c>
      <c r="B27" s="18">
        <v>15000</v>
      </c>
      <c r="C27" s="18">
        <f t="shared" ref="C27:C43" si="1">B27*1.17</f>
        <v>17550</v>
      </c>
    </row>
    <row r="28" spans="1:5" x14ac:dyDescent="0.5">
      <c r="A28" s="17" t="s">
        <v>39</v>
      </c>
      <c r="B28" s="18">
        <v>90000</v>
      </c>
      <c r="C28" s="18">
        <f t="shared" si="1"/>
        <v>105300</v>
      </c>
    </row>
    <row r="29" spans="1:5" x14ac:dyDescent="0.5">
      <c r="A29" s="17" t="s">
        <v>40</v>
      </c>
      <c r="B29" s="18">
        <v>60000</v>
      </c>
      <c r="C29" s="18">
        <f t="shared" si="1"/>
        <v>70200</v>
      </c>
    </row>
    <row r="30" spans="1:5" x14ac:dyDescent="0.5">
      <c r="A30" s="17" t="s">
        <v>49</v>
      </c>
      <c r="B30" s="18">
        <v>25000</v>
      </c>
      <c r="C30" s="18">
        <f t="shared" si="1"/>
        <v>29250</v>
      </c>
    </row>
    <row r="31" spans="1:5" x14ac:dyDescent="0.5">
      <c r="A31" s="17" t="s">
        <v>41</v>
      </c>
      <c r="B31" s="18">
        <v>60000</v>
      </c>
      <c r="C31" s="18">
        <f t="shared" si="1"/>
        <v>70200</v>
      </c>
    </row>
    <row r="32" spans="1:5" x14ac:dyDescent="0.5">
      <c r="A32" s="17" t="s">
        <v>87</v>
      </c>
      <c r="B32" s="18">
        <f>D32*טבלה1[[#Totals],[שווי שוק לפני מע"מ]]</f>
        <v>586324.78632478637</v>
      </c>
      <c r="C32" s="18">
        <f t="shared" si="1"/>
        <v>686000</v>
      </c>
      <c r="D32" s="61">
        <v>2.5000000000000001E-2</v>
      </c>
    </row>
    <row r="33" spans="1:6" x14ac:dyDescent="0.5">
      <c r="A33" s="17" t="s">
        <v>42</v>
      </c>
      <c r="B33" s="18">
        <v>30000</v>
      </c>
      <c r="C33" s="18">
        <f t="shared" si="1"/>
        <v>35100</v>
      </c>
    </row>
    <row r="34" spans="1:6" x14ac:dyDescent="0.5">
      <c r="A34" s="17" t="s">
        <v>44</v>
      </c>
      <c r="B34" s="18">
        <v>50000</v>
      </c>
      <c r="C34" s="18">
        <f t="shared" si="1"/>
        <v>58500</v>
      </c>
    </row>
    <row r="35" spans="1:6" x14ac:dyDescent="0.5">
      <c r="A35" s="17" t="s">
        <v>85</v>
      </c>
      <c r="B35" s="18">
        <v>5850</v>
      </c>
      <c r="C35" s="18">
        <f t="shared" si="1"/>
        <v>6844.5</v>
      </c>
    </row>
    <row r="36" spans="1:6" x14ac:dyDescent="0.5">
      <c r="A36" s="17" t="s">
        <v>45</v>
      </c>
      <c r="B36" s="18">
        <v>54000</v>
      </c>
      <c r="C36" s="18">
        <f t="shared" si="1"/>
        <v>63179.999999999993</v>
      </c>
    </row>
    <row r="37" spans="1:6" x14ac:dyDescent="0.5">
      <c r="A37" s="17" t="s">
        <v>83</v>
      </c>
      <c r="B37" s="18">
        <v>15000</v>
      </c>
      <c r="C37" s="18">
        <f t="shared" si="1"/>
        <v>17550</v>
      </c>
    </row>
    <row r="38" spans="1:6" x14ac:dyDescent="0.5">
      <c r="A38" s="17" t="s">
        <v>80</v>
      </c>
      <c r="B38" s="18">
        <v>3000</v>
      </c>
      <c r="C38" s="18">
        <f t="shared" si="1"/>
        <v>3510</v>
      </c>
    </row>
    <row r="39" spans="1:6" x14ac:dyDescent="0.5">
      <c r="A39" s="17" t="s">
        <v>81</v>
      </c>
      <c r="B39" s="18">
        <v>15000</v>
      </c>
      <c r="C39" s="18">
        <f t="shared" si="1"/>
        <v>17550</v>
      </c>
    </row>
    <row r="40" spans="1:6" x14ac:dyDescent="0.5">
      <c r="A40" s="17" t="s">
        <v>82</v>
      </c>
      <c r="B40" s="18">
        <v>5000</v>
      </c>
      <c r="C40" s="18">
        <f t="shared" si="1"/>
        <v>5850</v>
      </c>
    </row>
    <row r="41" spans="1:6" x14ac:dyDescent="0.5">
      <c r="A41" s="17" t="s">
        <v>43</v>
      </c>
      <c r="B41" s="18">
        <v>25000</v>
      </c>
      <c r="C41" s="18">
        <f t="shared" si="1"/>
        <v>29250</v>
      </c>
    </row>
    <row r="42" spans="1:6" x14ac:dyDescent="0.5">
      <c r="A42" s="17" t="s">
        <v>84</v>
      </c>
      <c r="B42" s="18">
        <v>0</v>
      </c>
      <c r="C42" s="18">
        <f t="shared" si="1"/>
        <v>0</v>
      </c>
    </row>
    <row r="43" spans="1:6" x14ac:dyDescent="0.5">
      <c r="A43" s="17" t="s">
        <v>51</v>
      </c>
      <c r="B43" s="18">
        <v>20000</v>
      </c>
      <c r="C43" s="18">
        <f t="shared" si="1"/>
        <v>23400</v>
      </c>
    </row>
    <row r="44" spans="1:6" x14ac:dyDescent="0.5">
      <c r="A44" s="14" t="s">
        <v>46</v>
      </c>
      <c r="B44" s="19">
        <f>SUM(B26:B43)</f>
        <v>1259174.7863247865</v>
      </c>
      <c r="C44" s="19">
        <f>SUM(C26:C43)</f>
        <v>1473234.5</v>
      </c>
    </row>
    <row r="45" spans="1:6" ht="18" thickBot="1" x14ac:dyDescent="0.55000000000000004">
      <c r="A45" s="16"/>
      <c r="B45" s="20"/>
      <c r="C45" s="21"/>
      <c r="D45" s="16"/>
    </row>
    <row r="46" spans="1:6" ht="18" thickBot="1" x14ac:dyDescent="0.55000000000000004">
      <c r="A46" s="107" t="s">
        <v>47</v>
      </c>
      <c r="B46" s="113" t="s">
        <v>98</v>
      </c>
      <c r="C46" s="110" t="s">
        <v>99</v>
      </c>
      <c r="D46" s="21"/>
      <c r="E46" s="16"/>
    </row>
    <row r="47" spans="1:6" x14ac:dyDescent="0.5">
      <c r="A47" s="103" t="s">
        <v>48</v>
      </c>
      <c r="B47" s="104">
        <f>D47*טבלה1[[#Totals],[שווי שוק כולל מע"מ]]</f>
        <v>0</v>
      </c>
      <c r="C47" s="104">
        <f>B47*1.17</f>
        <v>0</v>
      </c>
      <c r="D47" s="61">
        <v>0</v>
      </c>
      <c r="E47" s="16"/>
      <c r="F47" s="24"/>
    </row>
    <row r="48" spans="1:6" x14ac:dyDescent="0.5">
      <c r="A48" s="17" t="s">
        <v>88</v>
      </c>
      <c r="B48" s="18">
        <v>0</v>
      </c>
      <c r="C48" s="18">
        <f>B48*1.17</f>
        <v>0</v>
      </c>
      <c r="D48" s="25"/>
      <c r="E48" s="26"/>
    </row>
    <row r="49" spans="1:5" x14ac:dyDescent="0.5">
      <c r="A49" s="14" t="s">
        <v>50</v>
      </c>
      <c r="B49" s="19">
        <f>B48+B47</f>
        <v>0</v>
      </c>
      <c r="C49" s="19">
        <f>C48+C47</f>
        <v>0</v>
      </c>
      <c r="D49" s="27"/>
    </row>
    <row r="50" spans="1:5" ht="18" thickBot="1" x14ac:dyDescent="0.55000000000000004"/>
    <row r="51" spans="1:5" ht="18" thickBot="1" x14ac:dyDescent="0.55000000000000004">
      <c r="A51" s="107" t="s">
        <v>52</v>
      </c>
      <c r="B51" s="108" t="s">
        <v>98</v>
      </c>
      <c r="C51" s="108" t="s">
        <v>99</v>
      </c>
      <c r="D51" s="109" t="s">
        <v>54</v>
      </c>
      <c r="E51" s="110" t="s">
        <v>55</v>
      </c>
    </row>
    <row r="52" spans="1:5" x14ac:dyDescent="0.5">
      <c r="A52" s="103" t="s">
        <v>28</v>
      </c>
      <c r="B52" s="104">
        <f>D52*E52</f>
        <v>60000</v>
      </c>
      <c r="C52" s="104">
        <f>B52*1.17</f>
        <v>70200</v>
      </c>
      <c r="D52" s="105">
        <f>נתונים!B13</f>
        <v>12</v>
      </c>
      <c r="E52" s="106">
        <v>5000</v>
      </c>
    </row>
    <row r="53" spans="1:5" x14ac:dyDescent="0.5">
      <c r="A53" s="17" t="s">
        <v>53</v>
      </c>
      <c r="B53" s="18">
        <f>D53*E53</f>
        <v>36000</v>
      </c>
      <c r="C53" s="18">
        <f>B53*1.17</f>
        <v>42120</v>
      </c>
      <c r="D53" s="32">
        <f>נתונים!B13</f>
        <v>12</v>
      </c>
      <c r="E53" s="33">
        <v>3000</v>
      </c>
    </row>
    <row r="54" spans="1:5" x14ac:dyDescent="0.5">
      <c r="A54" s="14" t="s">
        <v>58</v>
      </c>
      <c r="B54" s="19">
        <f>B53+B52</f>
        <v>96000</v>
      </c>
      <c r="C54" s="19">
        <f>C53+C52</f>
        <v>112320</v>
      </c>
      <c r="D54" s="32"/>
      <c r="E54" s="23"/>
    </row>
    <row r="55" spans="1:5" ht="18" thickBot="1" x14ac:dyDescent="0.55000000000000004"/>
    <row r="56" spans="1:5" ht="18" thickBot="1" x14ac:dyDescent="0.55000000000000004">
      <c r="A56" s="107" t="s">
        <v>56</v>
      </c>
      <c r="B56" s="112" t="s">
        <v>57</v>
      </c>
    </row>
    <row r="57" spans="1:5" x14ac:dyDescent="0.5">
      <c r="A57" s="103" t="s">
        <v>56</v>
      </c>
      <c r="B57" s="111"/>
    </row>
    <row r="58" spans="1:5" x14ac:dyDescent="0.5">
      <c r="A58" s="14" t="s">
        <v>59</v>
      </c>
      <c r="B58" s="30">
        <f>B57</f>
        <v>0</v>
      </c>
    </row>
    <row r="59" spans="1:5" ht="18" thickBot="1" x14ac:dyDescent="0.55000000000000004"/>
    <row r="60" spans="1:5" ht="18" thickBot="1" x14ac:dyDescent="0.55000000000000004">
      <c r="A60" s="107" t="s">
        <v>60</v>
      </c>
      <c r="B60" s="108" t="s">
        <v>98</v>
      </c>
      <c r="C60" s="108" t="s">
        <v>99</v>
      </c>
      <c r="D60" s="109" t="s">
        <v>63</v>
      </c>
      <c r="E60" s="110" t="s">
        <v>64</v>
      </c>
    </row>
    <row r="61" spans="1:5" x14ac:dyDescent="0.5">
      <c r="A61" s="103" t="s">
        <v>61</v>
      </c>
      <c r="B61" s="121">
        <f>D61*E61</f>
        <v>537310.88568376075</v>
      </c>
      <c r="C61" s="121">
        <f>B61*1.17</f>
        <v>628653.73625000007</v>
      </c>
      <c r="D61" s="122">
        <v>0.05</v>
      </c>
      <c r="E61" s="123">
        <f>(B54+B44+B23+B16+B11)*50%</f>
        <v>10746217.713675214</v>
      </c>
    </row>
    <row r="62" spans="1:5" x14ac:dyDescent="0.5">
      <c r="A62" s="29" t="s">
        <v>62</v>
      </c>
      <c r="B62" s="19">
        <f>B61</f>
        <v>537310.88568376075</v>
      </c>
      <c r="C62" s="19">
        <f>B62*1.17</f>
        <v>628653.73625000007</v>
      </c>
      <c r="D62" s="31"/>
      <c r="E62" s="17"/>
    </row>
    <row r="63" spans="1:5" ht="18" thickBot="1" x14ac:dyDescent="0.55000000000000004">
      <c r="A63" s="66"/>
      <c r="B63" s="67"/>
      <c r="C63" s="68"/>
      <c r="D63" s="24"/>
    </row>
    <row r="64" spans="1:5" ht="18" thickBot="1" x14ac:dyDescent="0.55000000000000004">
      <c r="A64" s="126" t="s">
        <v>113</v>
      </c>
      <c r="B64" s="108" t="s">
        <v>101</v>
      </c>
      <c r="C64" s="112" t="s">
        <v>99</v>
      </c>
    </row>
    <row r="65" spans="1:3" x14ac:dyDescent="0.5">
      <c r="A65" s="124" t="s">
        <v>65</v>
      </c>
      <c r="B65" s="125">
        <f>B62+B58+B54+B49+B44+B23+B11+B16</f>
        <v>22029746.313034188</v>
      </c>
      <c r="C65" s="125">
        <f>B65*1.17</f>
        <v>25774803.186249997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rightToLeft="1" workbookViewId="0">
      <selection activeCell="A3" sqref="A3"/>
    </sheetView>
  </sheetViews>
  <sheetFormatPr defaultColWidth="9.09765625" defaultRowHeight="17.399999999999999" x14ac:dyDescent="0.5"/>
  <cols>
    <col min="1" max="1" width="13.8984375" style="12" customWidth="1"/>
    <col min="2" max="2" width="13" style="28" customWidth="1"/>
    <col min="3" max="3" width="23.69921875" style="12" customWidth="1"/>
    <col min="4" max="4" width="20.09765625" style="12" customWidth="1"/>
    <col min="5" max="5" width="13.5" style="12" customWidth="1"/>
    <col min="6" max="6" width="15.8984375" style="12" customWidth="1"/>
    <col min="7" max="7" width="9.5" style="12" customWidth="1"/>
    <col min="8" max="8" width="12.59765625" style="12" customWidth="1"/>
    <col min="9" max="9" width="15.3984375" style="28" bestFit="1" customWidth="1"/>
    <col min="10" max="10" width="19.19921875" style="12" bestFit="1" customWidth="1"/>
    <col min="11" max="11" width="17.59765625" style="12" bestFit="1" customWidth="1"/>
    <col min="12" max="16384" width="9.09765625" style="12"/>
  </cols>
  <sheetData>
    <row r="1" spans="1:12" ht="15" customHeight="1" x14ac:dyDescent="0.5">
      <c r="A1" s="69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5" customHeight="1" thickBot="1" x14ac:dyDescent="0.55000000000000004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x14ac:dyDescent="0.5">
      <c r="A3" s="64" t="s">
        <v>68</v>
      </c>
      <c r="B3" s="65"/>
      <c r="C3" s="26"/>
      <c r="D3" s="26"/>
      <c r="E3" s="26"/>
      <c r="F3" s="26"/>
      <c r="G3" s="26"/>
      <c r="H3" s="26"/>
    </row>
    <row r="4" spans="1:12" x14ac:dyDescent="0.5">
      <c r="A4" s="23" t="s">
        <v>109</v>
      </c>
      <c r="B4" s="138">
        <f>טבלה1[[#Totals],[מחיר למ"ר]]</f>
        <v>24878.380035703933</v>
      </c>
      <c r="C4" s="26"/>
      <c r="D4" s="26"/>
      <c r="E4" s="26"/>
      <c r="F4" s="26"/>
      <c r="G4" s="26"/>
      <c r="H4" s="26"/>
    </row>
    <row r="5" spans="1:12" x14ac:dyDescent="0.5">
      <c r="A5" s="23" t="s">
        <v>69</v>
      </c>
      <c r="B5" s="60">
        <v>0.5</v>
      </c>
      <c r="C5" s="26"/>
      <c r="D5" s="26"/>
      <c r="E5" s="26"/>
      <c r="F5" s="26"/>
      <c r="G5" s="26"/>
      <c r="H5" s="26"/>
    </row>
    <row r="6" spans="1:12" x14ac:dyDescent="0.5">
      <c r="A6" s="23" t="s">
        <v>71</v>
      </c>
      <c r="B6" s="60">
        <v>0.6</v>
      </c>
      <c r="C6" s="26"/>
      <c r="D6" s="26"/>
      <c r="E6" s="26"/>
      <c r="F6" s="26"/>
      <c r="G6" s="26"/>
      <c r="H6" s="26"/>
    </row>
    <row r="7" spans="1:12" x14ac:dyDescent="0.5">
      <c r="A7" s="23" t="s">
        <v>70</v>
      </c>
      <c r="B7" s="60">
        <v>0.4</v>
      </c>
      <c r="C7" s="26"/>
      <c r="D7" s="26"/>
      <c r="E7" s="26"/>
      <c r="F7" s="26"/>
      <c r="G7" s="26"/>
      <c r="H7" s="26"/>
    </row>
    <row r="8" spans="1:12" x14ac:dyDescent="0.5">
      <c r="A8" s="23" t="s">
        <v>72</v>
      </c>
      <c r="B8" s="60">
        <v>0.3</v>
      </c>
      <c r="C8" s="26"/>
      <c r="D8" s="26"/>
      <c r="E8" s="26"/>
      <c r="F8" s="26"/>
      <c r="G8" s="26"/>
      <c r="H8" s="26"/>
    </row>
    <row r="9" spans="1:12" x14ac:dyDescent="0.5">
      <c r="A9" s="23" t="s">
        <v>73</v>
      </c>
      <c r="B9" s="60">
        <v>1</v>
      </c>
      <c r="C9" s="26"/>
      <c r="D9" s="26"/>
      <c r="E9" s="26"/>
      <c r="F9" s="26"/>
      <c r="G9" s="26"/>
      <c r="H9" s="26"/>
    </row>
    <row r="10" spans="1:12" x14ac:dyDescent="0.5">
      <c r="A10" s="34"/>
      <c r="B10" s="35"/>
      <c r="C10" s="16"/>
      <c r="D10" s="16"/>
      <c r="E10" s="16"/>
      <c r="F10" s="16"/>
      <c r="G10" s="16"/>
      <c r="H10" s="16"/>
      <c r="I10" s="36"/>
    </row>
    <row r="11" spans="1:12" ht="37.200000000000003" x14ac:dyDescent="0.5">
      <c r="A11" s="54" t="s">
        <v>19</v>
      </c>
      <c r="B11" s="55" t="s">
        <v>13</v>
      </c>
      <c r="C11" s="55" t="s">
        <v>20</v>
      </c>
      <c r="D11" s="55" t="s">
        <v>11</v>
      </c>
      <c r="E11" s="55" t="s">
        <v>66</v>
      </c>
      <c r="F11" s="55" t="s">
        <v>67</v>
      </c>
      <c r="G11" s="55" t="s">
        <v>74</v>
      </c>
      <c r="H11" s="55" t="s">
        <v>70</v>
      </c>
      <c r="I11" s="55" t="s">
        <v>76</v>
      </c>
      <c r="J11" s="56" t="s">
        <v>77</v>
      </c>
      <c r="K11" s="55" t="s">
        <v>75</v>
      </c>
      <c r="L11" s="55" t="s">
        <v>108</v>
      </c>
    </row>
    <row r="12" spans="1:12" x14ac:dyDescent="0.5">
      <c r="A12" s="139">
        <v>1</v>
      </c>
      <c r="B12" s="140" t="s">
        <v>97</v>
      </c>
      <c r="C12" s="141" t="s">
        <v>104</v>
      </c>
      <c r="D12" s="142">
        <v>60</v>
      </c>
      <c r="E12" s="142">
        <v>30</v>
      </c>
      <c r="F12" s="142"/>
      <c r="G12" s="142"/>
      <c r="H12" s="142"/>
      <c r="I12" s="143">
        <f>(D12*$B$9)+(E12*$B$8)+(F12*$B$5)+(G12*$B$6)+(H12*$B$7)</f>
        <v>69</v>
      </c>
      <c r="J12" s="144">
        <f>טבלה1[[#This Row],[שווי שוק כולל מע"מ]]/1.17</f>
        <v>1623931.623931624</v>
      </c>
      <c r="K12" s="145">
        <v>1900000</v>
      </c>
      <c r="L12" s="146">
        <f>טבלה1[[#This Row],[שווי שוק כולל מע"מ]]/טבלה1[[#This Row],[מ"ר אקוויולנטי]]</f>
        <v>27536.231884057972</v>
      </c>
    </row>
    <row r="13" spans="1:12" x14ac:dyDescent="0.5">
      <c r="A13" s="139">
        <v>2</v>
      </c>
      <c r="B13" s="140" t="s">
        <v>97</v>
      </c>
      <c r="C13" s="141" t="s">
        <v>104</v>
      </c>
      <c r="D13" s="142">
        <v>60</v>
      </c>
      <c r="E13" s="142">
        <v>30</v>
      </c>
      <c r="F13" s="142"/>
      <c r="G13" s="142"/>
      <c r="H13" s="142"/>
      <c r="I13" s="143">
        <f t="shared" ref="I13:I23" si="0">(D13*$B$9)+(E13*$B$8)+(F13*$B$5)+(G13*$B$6)+(H13*$B$7)</f>
        <v>69</v>
      </c>
      <c r="J13" s="144">
        <f>טבלה1[[#This Row],[שווי שוק כולל מע"מ]]/1.17</f>
        <v>1623931.623931624</v>
      </c>
      <c r="K13" s="145">
        <v>1900000</v>
      </c>
      <c r="L13" s="146">
        <f>טבלה1[[#This Row],[שווי שוק כולל מע"מ]]/טבלה1[[#This Row],[מ"ר אקוויולנטי]]</f>
        <v>27536.231884057972</v>
      </c>
    </row>
    <row r="14" spans="1:12" x14ac:dyDescent="0.5">
      <c r="A14" s="139">
        <v>3</v>
      </c>
      <c r="B14" s="140">
        <v>1</v>
      </c>
      <c r="C14" s="141"/>
      <c r="D14" s="142">
        <v>80</v>
      </c>
      <c r="E14" s="142"/>
      <c r="F14" s="142">
        <v>14</v>
      </c>
      <c r="G14" s="142"/>
      <c r="H14" s="142"/>
      <c r="I14" s="143">
        <f t="shared" si="0"/>
        <v>87</v>
      </c>
      <c r="J14" s="144">
        <f>טבלה1[[#This Row],[שווי שוק כולל מע"מ]]/1.17</f>
        <v>1820512.8205128207</v>
      </c>
      <c r="K14" s="145">
        <v>2130000</v>
      </c>
      <c r="L14" s="146">
        <f>טבלה1[[#This Row],[שווי שוק כולל מע"מ]]/טבלה1[[#This Row],[מ"ר אקוויולנטי]]</f>
        <v>24482.758620689656</v>
      </c>
    </row>
    <row r="15" spans="1:12" x14ac:dyDescent="0.5">
      <c r="A15" s="139">
        <v>4</v>
      </c>
      <c r="B15" s="140">
        <v>1</v>
      </c>
      <c r="C15" s="141"/>
      <c r="D15" s="142">
        <v>80</v>
      </c>
      <c r="E15" s="142"/>
      <c r="F15" s="142">
        <v>14</v>
      </c>
      <c r="G15" s="142"/>
      <c r="H15" s="142"/>
      <c r="I15" s="143">
        <f t="shared" si="0"/>
        <v>87</v>
      </c>
      <c r="J15" s="144">
        <f>טבלה1[[#This Row],[שווי שוק כולל מע"מ]]/1.17</f>
        <v>1820512.8205128207</v>
      </c>
      <c r="K15" s="145">
        <v>2130000</v>
      </c>
      <c r="L15" s="146">
        <f>טבלה1[[#This Row],[שווי שוק כולל מע"מ]]/טבלה1[[#This Row],[מ"ר אקוויולנטי]]</f>
        <v>24482.758620689656</v>
      </c>
    </row>
    <row r="16" spans="1:12" x14ac:dyDescent="0.5">
      <c r="A16" s="139">
        <v>5</v>
      </c>
      <c r="B16" s="140">
        <v>2</v>
      </c>
      <c r="C16" s="141"/>
      <c r="D16" s="142">
        <v>80</v>
      </c>
      <c r="E16" s="142"/>
      <c r="F16" s="142">
        <v>14</v>
      </c>
      <c r="G16" s="142"/>
      <c r="H16" s="142"/>
      <c r="I16" s="143">
        <f t="shared" si="0"/>
        <v>87</v>
      </c>
      <c r="J16" s="144">
        <f>טבלה1[[#This Row],[שווי שוק כולל מע"מ]]/1.17</f>
        <v>1820512.8205128207</v>
      </c>
      <c r="K16" s="145">
        <v>2130000</v>
      </c>
      <c r="L16" s="146">
        <f>טבלה1[[#This Row],[שווי שוק כולל מע"מ]]/טבלה1[[#This Row],[מ"ר אקוויולנטי]]</f>
        <v>24482.758620689656</v>
      </c>
    </row>
    <row r="17" spans="1:12" x14ac:dyDescent="0.5">
      <c r="A17" s="139">
        <v>6</v>
      </c>
      <c r="B17" s="140">
        <v>2</v>
      </c>
      <c r="C17" s="141"/>
      <c r="D17" s="142">
        <v>120</v>
      </c>
      <c r="E17" s="142"/>
      <c r="F17" s="142">
        <v>14</v>
      </c>
      <c r="G17" s="142"/>
      <c r="H17" s="142"/>
      <c r="I17" s="143">
        <f t="shared" si="0"/>
        <v>127</v>
      </c>
      <c r="J17" s="144">
        <f>טבלה1[[#This Row],[שווי שוק כולל מע"מ]]/1.17</f>
        <v>2435897.435897436</v>
      </c>
      <c r="K17" s="145">
        <v>2850000</v>
      </c>
      <c r="L17" s="146">
        <f>טבלה1[[#This Row],[שווי שוק כולל מע"מ]]/טבלה1[[#This Row],[מ"ר אקוויולנטי]]</f>
        <v>22440.944881889765</v>
      </c>
    </row>
    <row r="18" spans="1:12" x14ac:dyDescent="0.5">
      <c r="A18" s="139">
        <v>7</v>
      </c>
      <c r="B18" s="140">
        <v>2</v>
      </c>
      <c r="C18" s="141"/>
      <c r="D18" s="142">
        <v>120</v>
      </c>
      <c r="E18" s="142"/>
      <c r="F18" s="142">
        <v>14</v>
      </c>
      <c r="G18" s="142"/>
      <c r="H18" s="142"/>
      <c r="I18" s="143">
        <f t="shared" si="0"/>
        <v>127</v>
      </c>
      <c r="J18" s="144">
        <f>טבלה1[[#This Row],[שווי שוק כולל מע"מ]]/1.17</f>
        <v>2435897.435897436</v>
      </c>
      <c r="K18" s="145">
        <v>2850000</v>
      </c>
      <c r="L18" s="146">
        <f>טבלה1[[#This Row],[שווי שוק כולל מע"מ]]/טבלה1[[#This Row],[מ"ר אקוויולנטי]]</f>
        <v>22440.944881889765</v>
      </c>
    </row>
    <row r="19" spans="1:12" x14ac:dyDescent="0.5">
      <c r="A19" s="139">
        <v>8</v>
      </c>
      <c r="B19" s="140">
        <v>3</v>
      </c>
      <c r="C19" s="141"/>
      <c r="D19" s="142">
        <v>80</v>
      </c>
      <c r="E19" s="142"/>
      <c r="F19" s="142">
        <v>14</v>
      </c>
      <c r="G19" s="142"/>
      <c r="H19" s="142"/>
      <c r="I19" s="143">
        <f t="shared" si="0"/>
        <v>87</v>
      </c>
      <c r="J19" s="144">
        <f>טבלה1[[#This Row],[שווי שוק כולל מע"מ]]/1.17</f>
        <v>1837606.8376068377</v>
      </c>
      <c r="K19" s="145">
        <v>2150000</v>
      </c>
      <c r="L19" s="146">
        <f>טבלה1[[#This Row],[שווי שוק כולל מע"מ]]/טבלה1[[#This Row],[מ"ר אקוויולנטי]]</f>
        <v>24712.643678160919</v>
      </c>
    </row>
    <row r="20" spans="1:12" x14ac:dyDescent="0.5">
      <c r="A20" s="139">
        <v>9</v>
      </c>
      <c r="B20" s="140">
        <v>3</v>
      </c>
      <c r="C20" s="141"/>
      <c r="D20" s="142">
        <v>80</v>
      </c>
      <c r="E20" s="142"/>
      <c r="F20" s="142">
        <v>14</v>
      </c>
      <c r="G20" s="142"/>
      <c r="H20" s="142"/>
      <c r="I20" s="143">
        <f t="shared" ref="I20:I21" si="1">(D20*$B$9)+(E20*$B$8)+(F20*$B$5)+(G20*$B$6)+(H20*$B$7)</f>
        <v>87</v>
      </c>
      <c r="J20" s="144">
        <f>טבלה1[[#This Row],[שווי שוק כולל מע"מ]]/1.17</f>
        <v>1837606.8376068377</v>
      </c>
      <c r="K20" s="145">
        <v>2150000</v>
      </c>
      <c r="L20" s="146">
        <f>טבלה1[[#This Row],[שווי שוק כולל מע"מ]]/טבלה1[[#This Row],[מ"ר אקוויולנטי]]</f>
        <v>24712.643678160919</v>
      </c>
    </row>
    <row r="21" spans="1:12" x14ac:dyDescent="0.5">
      <c r="A21" s="139">
        <v>10</v>
      </c>
      <c r="B21" s="140">
        <v>3</v>
      </c>
      <c r="C21" s="141"/>
      <c r="D21" s="142">
        <v>80</v>
      </c>
      <c r="E21" s="142"/>
      <c r="F21" s="142">
        <v>14</v>
      </c>
      <c r="G21" s="142"/>
      <c r="H21" s="142"/>
      <c r="I21" s="143">
        <f t="shared" si="1"/>
        <v>87</v>
      </c>
      <c r="J21" s="144">
        <f>טבלה1[[#This Row],[שווי שוק כולל מע"מ]]/1.17</f>
        <v>1837606.8376068377</v>
      </c>
      <c r="K21" s="145">
        <v>2150000</v>
      </c>
      <c r="L21" s="146">
        <f>טבלה1[[#This Row],[שווי שוק כולל מע"מ]]/טבלה1[[#This Row],[מ"ר אקוויולנטי]]</f>
        <v>24712.643678160919</v>
      </c>
    </row>
    <row r="22" spans="1:12" x14ac:dyDescent="0.5">
      <c r="A22" s="139">
        <v>11</v>
      </c>
      <c r="B22" s="147">
        <v>4</v>
      </c>
      <c r="C22" s="141" t="s">
        <v>103</v>
      </c>
      <c r="D22" s="142">
        <v>80</v>
      </c>
      <c r="E22" s="142"/>
      <c r="F22" s="142">
        <v>40</v>
      </c>
      <c r="G22" s="142"/>
      <c r="H22" s="142"/>
      <c r="I22" s="143">
        <f t="shared" si="0"/>
        <v>100</v>
      </c>
      <c r="J22" s="144">
        <f>טבלה1[[#This Row],[שווי שוק כולל מע"מ]]/1.17</f>
        <v>2179487.1794871795</v>
      </c>
      <c r="K22" s="145">
        <v>2550000</v>
      </c>
      <c r="L22" s="146">
        <f>טבלה1[[#This Row],[שווי שוק כולל מע"מ]]/טבלה1[[#This Row],[מ"ר אקוויולנטי]]</f>
        <v>25500</v>
      </c>
    </row>
    <row r="23" spans="1:12" x14ac:dyDescent="0.5">
      <c r="A23" s="139">
        <v>12</v>
      </c>
      <c r="B23" s="147">
        <v>4</v>
      </c>
      <c r="C23" s="141" t="s">
        <v>103</v>
      </c>
      <c r="D23" s="142">
        <v>80</v>
      </c>
      <c r="E23" s="142"/>
      <c r="F23" s="142">
        <v>40</v>
      </c>
      <c r="G23" s="142"/>
      <c r="H23" s="142"/>
      <c r="I23" s="143">
        <f t="shared" si="0"/>
        <v>100</v>
      </c>
      <c r="J23" s="144">
        <f>טבלה1[[#This Row],[שווי שוק כולל מע"מ]]/1.17</f>
        <v>2179487.1794871795</v>
      </c>
      <c r="K23" s="145">
        <v>2550000</v>
      </c>
      <c r="L23" s="146">
        <f>טבלה1[[#This Row],[שווי שוק כולל מע"מ]]/טבלה1[[#This Row],[מ"ר אקוויולנטי]]</f>
        <v>25500</v>
      </c>
    </row>
    <row r="24" spans="1:12" x14ac:dyDescent="0.5">
      <c r="A24" s="57" t="s">
        <v>31</v>
      </c>
      <c r="B24" s="58"/>
      <c r="C24" s="58"/>
      <c r="D24" s="58">
        <f>SUBTOTAL(109,טבלה1[מ"ר עיקרי])</f>
        <v>1000</v>
      </c>
      <c r="E24" s="58"/>
      <c r="F24" s="58"/>
      <c r="G24" s="58"/>
      <c r="H24" s="58"/>
      <c r="I24" s="58">
        <f>SUBTOTAL(109,טבלה1[מ"ר אקוויולנטי])</f>
        <v>1114</v>
      </c>
      <c r="J24" s="59">
        <f>SUBTOTAL(109,טבלה1[שווי שוק לפני מע"מ])</f>
        <v>23452991.452991452</v>
      </c>
      <c r="K24" s="59">
        <f>SUBTOTAL(109,טבלה1[שווי שוק כולל מע"מ])</f>
        <v>27440000</v>
      </c>
      <c r="L24" s="58">
        <f>SUBTOTAL(101,טבלה1[מחיר למ"ר])</f>
        <v>24878.380035703933</v>
      </c>
    </row>
  </sheetData>
  <mergeCells count="1">
    <mergeCell ref="A1:L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25"/>
  <sheetViews>
    <sheetView rightToLeft="1" tabSelected="1" zoomScaleNormal="100" workbookViewId="0">
      <selection activeCell="A13" sqref="A13"/>
    </sheetView>
  </sheetViews>
  <sheetFormatPr defaultColWidth="9" defaultRowHeight="16.2" x14ac:dyDescent="0.45"/>
  <cols>
    <col min="1" max="1" width="9" style="37"/>
    <col min="2" max="2" width="22.59765625" style="37" bestFit="1" customWidth="1"/>
    <col min="3" max="3" width="10.69921875" style="37" bestFit="1" customWidth="1"/>
    <col min="4" max="4" width="14" style="37" bestFit="1" customWidth="1"/>
    <col min="5" max="5" width="10.69921875" style="37" bestFit="1" customWidth="1"/>
    <col min="6" max="8" width="9.8984375" style="37" bestFit="1" customWidth="1"/>
    <col min="9" max="9" width="9" style="37"/>
    <col min="10" max="10" width="8.3984375" style="37" bestFit="1" customWidth="1"/>
    <col min="11" max="16384" width="9" style="37"/>
  </cols>
  <sheetData>
    <row r="1" spans="2:9" ht="16.2" customHeight="1" x14ac:dyDescent="0.45">
      <c r="B1" s="90" t="s">
        <v>111</v>
      </c>
      <c r="C1" s="91"/>
      <c r="D1" s="91"/>
      <c r="E1" s="91"/>
      <c r="F1" s="91"/>
      <c r="G1" s="91"/>
      <c r="H1" s="92"/>
      <c r="I1" s="89"/>
    </row>
    <row r="2" spans="2:9" ht="16.2" customHeight="1" thickBot="1" x14ac:dyDescent="0.5">
      <c r="B2" s="93"/>
      <c r="C2" s="94"/>
      <c r="D2" s="94"/>
      <c r="E2" s="94"/>
      <c r="F2" s="94"/>
      <c r="G2" s="94"/>
      <c r="H2" s="95"/>
      <c r="I2" s="89"/>
    </row>
    <row r="3" spans="2:9" ht="16.2" customHeight="1" x14ac:dyDescent="0.45">
      <c r="B3" s="96"/>
      <c r="C3" s="96"/>
      <c r="D3" s="96"/>
      <c r="E3" s="96"/>
      <c r="F3" s="96"/>
      <c r="G3" s="96"/>
      <c r="H3" s="96"/>
      <c r="I3" s="89"/>
    </row>
    <row r="4" spans="2:9" x14ac:dyDescent="0.45">
      <c r="B4" s="38"/>
      <c r="C4" s="97" t="s">
        <v>101</v>
      </c>
      <c r="D4" s="97" t="s">
        <v>99</v>
      </c>
      <c r="E4" s="38"/>
      <c r="F4" s="38"/>
      <c r="G4" s="38"/>
    </row>
    <row r="5" spans="2:9" ht="17.399999999999999" x14ac:dyDescent="0.5">
      <c r="B5" s="51" t="s">
        <v>26</v>
      </c>
      <c r="C5" s="52">
        <f>עלויות!B65</f>
        <v>22029746.313034188</v>
      </c>
      <c r="D5" s="52">
        <f>עלויות!C65</f>
        <v>25774803.186249997</v>
      </c>
      <c r="E5" s="39"/>
      <c r="F5" s="39"/>
      <c r="G5" s="39"/>
    </row>
    <row r="6" spans="2:9" ht="17.399999999999999" x14ac:dyDescent="0.5">
      <c r="B6" s="51" t="s">
        <v>25</v>
      </c>
      <c r="C6" s="52">
        <f>טבלה1[[#Totals],[שווי שוק לפני מע"מ]]</f>
        <v>23452991.452991452</v>
      </c>
      <c r="D6" s="52">
        <f>טבלה1[[#Totals],[שווי שוק כולל מע"מ]]</f>
        <v>27440000</v>
      </c>
      <c r="E6" s="39"/>
      <c r="F6" s="39"/>
      <c r="G6" s="39"/>
    </row>
    <row r="7" spans="2:9" ht="17.399999999999999" x14ac:dyDescent="0.5">
      <c r="B7" s="51" t="s">
        <v>78</v>
      </c>
      <c r="C7" s="53">
        <f>C10/C5</f>
        <v>6.4605607333534404E-2</v>
      </c>
      <c r="D7" s="53">
        <f>D10/D5</f>
        <v>6.4605607333534557E-2</v>
      </c>
      <c r="E7" s="39"/>
      <c r="F7" s="39"/>
      <c r="G7" s="39"/>
    </row>
    <row r="8" spans="2:9" ht="17.399999999999999" x14ac:dyDescent="0.5">
      <c r="B8" s="51" t="s">
        <v>79</v>
      </c>
      <c r="C8" s="53">
        <f>C10/C6</f>
        <v>6.0685015078352736E-2</v>
      </c>
      <c r="D8" s="53">
        <f>D10/D6</f>
        <v>6.0685015078352861E-2</v>
      </c>
      <c r="E8" s="39"/>
      <c r="F8" s="39"/>
      <c r="G8" s="39"/>
    </row>
    <row r="9" spans="2:9" ht="18" thickBot="1" x14ac:dyDescent="0.55000000000000004">
      <c r="B9" s="39"/>
      <c r="C9" s="39"/>
      <c r="D9" s="40"/>
      <c r="E9" s="39"/>
      <c r="F9" s="39"/>
      <c r="G9" s="39"/>
      <c r="H9" s="39"/>
    </row>
    <row r="10" spans="2:9" ht="18" thickBot="1" x14ac:dyDescent="0.55000000000000004">
      <c r="B10" s="98" t="s">
        <v>24</v>
      </c>
      <c r="C10" s="100">
        <f>C6-C5</f>
        <v>1423245.1399572641</v>
      </c>
      <c r="D10" s="100">
        <f>D6-D5</f>
        <v>1665196.8137500025</v>
      </c>
      <c r="E10" s="99" t="s">
        <v>23</v>
      </c>
      <c r="F10" s="101">
        <f>C10/C5</f>
        <v>6.4605607333534404E-2</v>
      </c>
      <c r="G10" s="102" t="s">
        <v>22</v>
      </c>
    </row>
    <row r="11" spans="2:9" ht="17.399999999999999" x14ac:dyDescent="0.5">
      <c r="B11" s="41"/>
      <c r="C11" s="41"/>
      <c r="D11" s="41"/>
      <c r="E11" s="41"/>
      <c r="F11" s="41"/>
      <c r="G11" s="41"/>
      <c r="H11" s="41"/>
    </row>
    <row r="12" spans="2:9" ht="17.399999999999999" x14ac:dyDescent="0.5">
      <c r="B12" s="41"/>
      <c r="C12" s="41"/>
      <c r="D12" s="41"/>
      <c r="E12" s="41"/>
      <c r="F12" s="41"/>
      <c r="G12" s="41"/>
      <c r="H12" s="41"/>
    </row>
    <row r="13" spans="2:9" ht="17.399999999999999" x14ac:dyDescent="0.45">
      <c r="B13" s="80" t="s">
        <v>112</v>
      </c>
      <c r="C13" s="81"/>
      <c r="D13" s="77" t="s">
        <v>0</v>
      </c>
      <c r="E13" s="78"/>
      <c r="F13" s="78"/>
      <c r="G13" s="78"/>
      <c r="H13" s="79"/>
    </row>
    <row r="14" spans="2:9" x14ac:dyDescent="0.45">
      <c r="B14" s="82"/>
      <c r="C14" s="83"/>
      <c r="D14" s="75">
        <v>1.1000000000000001</v>
      </c>
      <c r="E14" s="75">
        <v>1.05</v>
      </c>
      <c r="F14" s="75">
        <v>1</v>
      </c>
      <c r="G14" s="75">
        <v>0.95</v>
      </c>
      <c r="H14" s="75">
        <v>0.9</v>
      </c>
    </row>
    <row r="15" spans="2:9" x14ac:dyDescent="0.45">
      <c r="B15" s="82"/>
      <c r="C15" s="83"/>
      <c r="D15" s="75"/>
      <c r="E15" s="75"/>
      <c r="F15" s="76"/>
      <c r="G15" s="75"/>
      <c r="H15" s="76"/>
    </row>
    <row r="16" spans="2:9" ht="17.399999999999999" x14ac:dyDescent="0.5">
      <c r="B16" s="77" t="s">
        <v>21</v>
      </c>
      <c r="C16" s="75">
        <v>1.1000000000000001</v>
      </c>
      <c r="D16" s="42">
        <f>($C$6*$C$16)-($C$5*$D$14)</f>
        <v>1565569.6539529897</v>
      </c>
      <c r="E16" s="43">
        <f>($C$6*$C$16)-($C$5*$E$14)</f>
        <v>2667056.9696047008</v>
      </c>
      <c r="F16" s="42">
        <f>($C$6*$C$16)-($C$5*$F$14)</f>
        <v>3768544.2852564119</v>
      </c>
      <c r="G16" s="43">
        <f>($C$6*$C$16)-($C$5*$G$14)</f>
        <v>4870031.600908123</v>
      </c>
      <c r="H16" s="44">
        <f>($C$6*$C$16)-($C$5*$H$14)</f>
        <v>5971518.9165598303</v>
      </c>
    </row>
    <row r="17" spans="2:8" ht="17.399999999999999" x14ac:dyDescent="0.5">
      <c r="B17" s="77"/>
      <c r="C17" s="75"/>
      <c r="D17" s="45">
        <f>($C$6*$C$16)/($C$5*$D$14)-1</f>
        <v>6.4605607333534376E-2</v>
      </c>
      <c r="E17" s="46">
        <f>($C$6*$C$16)/($C$5*$E$14)-1</f>
        <v>0.11530111244465502</v>
      </c>
      <c r="F17" s="45">
        <f>($C$6*$C$16)/($C$5*$F$14)-1</f>
        <v>0.1710661680668879</v>
      </c>
      <c r="G17" s="46">
        <f>($C$6*$C$16)/($C$5*$G$14)-1</f>
        <v>0.23270122954409267</v>
      </c>
      <c r="H17" s="47">
        <f>($C$6*$C$16)/($C$5*$H$14)-1</f>
        <v>0.30118463118543115</v>
      </c>
    </row>
    <row r="18" spans="2:8" ht="17.399999999999999" x14ac:dyDescent="0.5">
      <c r="B18" s="77"/>
      <c r="C18" s="75">
        <v>1.05</v>
      </c>
      <c r="D18" s="43">
        <f>($C$6*$C$18)-($C$5*$D$14)</f>
        <v>392920.08130341396</v>
      </c>
      <c r="E18" s="42">
        <f>($C$6*$C$18)-($C$5*$E$14)</f>
        <v>1494407.396955125</v>
      </c>
      <c r="F18" s="43">
        <f>($C$6*$C$18)-($C$5*$F$14)</f>
        <v>2595894.7126068361</v>
      </c>
      <c r="G18" s="44">
        <f>($C$6*$C$18)-($C$5*$G$14)</f>
        <v>3697382.0282585472</v>
      </c>
      <c r="H18" s="48">
        <f>($C$6*$C$18)-($C$5*$H$14)</f>
        <v>4798869.3439102545</v>
      </c>
    </row>
    <row r="19" spans="2:8" ht="17.399999999999999" x14ac:dyDescent="0.5">
      <c r="B19" s="77"/>
      <c r="C19" s="75"/>
      <c r="D19" s="46">
        <f>($C$6*$C$18)/($C$5*$D$14)-1</f>
        <v>1.6214443363828046E-2</v>
      </c>
      <c r="E19" s="45">
        <f>($C$6*$C$18)/($C$5*$E$14)-1</f>
        <v>6.4605607333534376E-2</v>
      </c>
      <c r="F19" s="46">
        <f>($C$6*$C$18)/($C$5*$F$14)-1</f>
        <v>0.11783588770021103</v>
      </c>
      <c r="G19" s="47">
        <f>($C$6*$C$18)/($C$5*$G$14)-1</f>
        <v>0.1766693554739065</v>
      </c>
      <c r="H19" s="49">
        <f>($C$6*$C$18)/($C$5*$H$14)-1</f>
        <v>0.24203987522245685</v>
      </c>
    </row>
    <row r="20" spans="2:8" ht="17.399999999999999" x14ac:dyDescent="0.5">
      <c r="B20" s="77"/>
      <c r="C20" s="84">
        <v>1</v>
      </c>
      <c r="D20" s="42">
        <f>($C$6*$C$20)-($C$5*$D$14)</f>
        <v>-779729.49134615809</v>
      </c>
      <c r="E20" s="43">
        <f>($C$6*$C$20)-($C$5*$E$14)</f>
        <v>321757.82430555299</v>
      </c>
      <c r="F20" s="44">
        <f>($C$6*$C$20)-($C$5*$F$14)</f>
        <v>1423245.1399572641</v>
      </c>
      <c r="G20" s="43">
        <f>($C$6*$C$20)-($C$5*$G$14)</f>
        <v>2524732.4556089751</v>
      </c>
      <c r="H20" s="42">
        <f>($C$6*$C$20)-($C$5*$H$14)</f>
        <v>3626219.7712606825</v>
      </c>
    </row>
    <row r="21" spans="2:8" ht="17.399999999999999" x14ac:dyDescent="0.5">
      <c r="B21" s="77"/>
      <c r="C21" s="84"/>
      <c r="D21" s="45">
        <f>($C$6*$C$20)/($C$5*$D$14)-1</f>
        <v>-3.2176720605877951E-2</v>
      </c>
      <c r="E21" s="46">
        <f>($C$6*$C$20)/($C$5*$E$14)-1</f>
        <v>1.3910102222413734E-2</v>
      </c>
      <c r="F21" s="47">
        <f>($C$6*$C$20)/($C$5*$F$14)-1</f>
        <v>6.4605607333534376E-2</v>
      </c>
      <c r="G21" s="46">
        <f>($C$6*$C$20)/($C$5*$G$14)-1</f>
        <v>0.12063748140372055</v>
      </c>
      <c r="H21" s="45">
        <f>($C$6*$C$20)/($C$5*$H$14)-1</f>
        <v>0.18289511925948254</v>
      </c>
    </row>
    <row r="22" spans="2:8" ht="17.399999999999999" x14ac:dyDescent="0.5">
      <c r="B22" s="77"/>
      <c r="C22" s="75">
        <v>0.95</v>
      </c>
      <c r="D22" s="43">
        <f>($C$6*$C$22)-($C$5*$D$14)</f>
        <v>-1952379.0639957301</v>
      </c>
      <c r="E22" s="44">
        <f>($C$6*$C$22)-($C$5*$E$14)</f>
        <v>-850891.74834401906</v>
      </c>
      <c r="F22" s="43">
        <f>($C$6*$C$22)-($C$5*$F$14)</f>
        <v>250595.56730769202</v>
      </c>
      <c r="G22" s="42">
        <f>($C$6*$C$22)-($C$5*$G$14)</f>
        <v>1352082.8829594031</v>
      </c>
      <c r="H22" s="48">
        <f>($C$6*$C$22)-($C$5*$H$14)</f>
        <v>2453570.1986111104</v>
      </c>
    </row>
    <row r="23" spans="2:8" ht="17.399999999999999" x14ac:dyDescent="0.5">
      <c r="B23" s="77"/>
      <c r="C23" s="75"/>
      <c r="D23" s="46">
        <f>($C$6*$C$22)/($C$5*$D$14)-1</f>
        <v>-8.0567884575584059E-2</v>
      </c>
      <c r="E23" s="47">
        <f>($C$6*$C$22)/($C$5*$E$14)-1</f>
        <v>-3.6785402888707019E-2</v>
      </c>
      <c r="F23" s="46">
        <f>($C$6*$C$22)/($C$5*$F$14)-1</f>
        <v>1.1375326966857724E-2</v>
      </c>
      <c r="G23" s="45">
        <f>($C$6*$C$22)/($C$5*$G$14)-1</f>
        <v>6.4605607333534598E-2</v>
      </c>
      <c r="H23" s="49">
        <f>($C$6*$C$22)/($C$5*$H$14)-1</f>
        <v>0.12375036329650846</v>
      </c>
    </row>
    <row r="24" spans="2:8" ht="17.399999999999999" x14ac:dyDescent="0.5">
      <c r="B24" s="77"/>
      <c r="C24" s="84">
        <v>0.9</v>
      </c>
      <c r="D24" s="44">
        <f>($C$6*$C$24)-($C$5*$D$14)</f>
        <v>-3125028.6366453022</v>
      </c>
      <c r="E24" s="43">
        <f>($C$6*$C$24)-($C$5*$E$14)</f>
        <v>-2023541.3209935911</v>
      </c>
      <c r="F24" s="42">
        <f>($C$6*$C$24)-($C$5*$F$14)</f>
        <v>-922054.00534188002</v>
      </c>
      <c r="G24" s="43">
        <f>($C$6*$C$24)-($C$5*$G$14)</f>
        <v>179433.31030983105</v>
      </c>
      <c r="H24" s="42">
        <f>($C$6*$C$24)-($C$5*$H$14)</f>
        <v>1280920.6259615384</v>
      </c>
    </row>
    <row r="25" spans="2:8" ht="17.399999999999999" x14ac:dyDescent="0.5">
      <c r="B25" s="77"/>
      <c r="C25" s="84"/>
      <c r="D25" s="47">
        <f>($C$6*$C$24)/($C$5*$D$14)-1</f>
        <v>-0.12895904854529006</v>
      </c>
      <c r="E25" s="50">
        <f>($C$6*$C$24)/($C$5*$E$14)-1</f>
        <v>-8.7480907999827662E-2</v>
      </c>
      <c r="F25" s="45">
        <f>($C$6*$C$24)/($C$5*$F$14)-1</f>
        <v>-4.1854953399819039E-2</v>
      </c>
      <c r="G25" s="50">
        <f>($C$6*$C$24)/($C$5*$G$14)-1</f>
        <v>8.5737332633484264E-3</v>
      </c>
      <c r="H25" s="45">
        <f>($C$6*$C$24)/($C$5*$H$14)-1</f>
        <v>6.4605607333534376E-2</v>
      </c>
    </row>
  </sheetData>
  <mergeCells count="14">
    <mergeCell ref="B16:B25"/>
    <mergeCell ref="B13:C15"/>
    <mergeCell ref="D14:D15"/>
    <mergeCell ref="E14:E15"/>
    <mergeCell ref="C24:C25"/>
    <mergeCell ref="C16:C17"/>
    <mergeCell ref="C18:C19"/>
    <mergeCell ref="C20:C21"/>
    <mergeCell ref="C22:C23"/>
    <mergeCell ref="F14:F15"/>
    <mergeCell ref="G14:G15"/>
    <mergeCell ref="H14:H15"/>
    <mergeCell ref="D13:H13"/>
    <mergeCell ref="B1:H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Header>&amp;L&amp;D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3</vt:i4>
      </vt:variant>
    </vt:vector>
  </HeadingPairs>
  <TitlesOfParts>
    <vt:vector size="7" baseType="lpstr">
      <vt:lpstr>נתונים</vt:lpstr>
      <vt:lpstr>עלויות</vt:lpstr>
      <vt:lpstr>הכנסות</vt:lpstr>
      <vt:lpstr>רווח בפרויקט + רגישות</vt:lpstr>
      <vt:lpstr>הכנסות!WPrint_Area_W</vt:lpstr>
      <vt:lpstr>נתונים!WPrint_Area_W</vt:lpstr>
      <vt:lpstr>עלויות!WPrint_Area_W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Tetro</dc:creator>
  <cp:lastModifiedBy>LENOVO</cp:lastModifiedBy>
  <cp:lastPrinted>2013-02-02T22:04:24Z</cp:lastPrinted>
  <dcterms:created xsi:type="dcterms:W3CDTF">2012-06-27T18:12:11Z</dcterms:created>
  <dcterms:modified xsi:type="dcterms:W3CDTF">2020-05-19T06:14:24Z</dcterms:modified>
</cp:coreProperties>
</file>