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0730" windowHeight="9540"/>
  </bookViews>
  <sheets>
    <sheet name="נתונים" sheetId="1" r:id="rId1"/>
    <sheet name="עלויות" sheetId="2" r:id="rId2"/>
    <sheet name="הכנסות" sheetId="3" r:id="rId3"/>
    <sheet name="רווח בפרויקט + רגישות" sheetId="7" r:id="rId4"/>
  </sheets>
  <definedNames>
    <definedName name="_xlnm.Print_Area" localSheetId="2">הכנסות!$A$1:$F$29</definedName>
    <definedName name="_xlnm.Print_Area" localSheetId="0">נתונים!$A$1:$C$29</definedName>
    <definedName name="_xlnm.Print_Area" localSheetId="1">עלויות!$A$1:$D$51</definedName>
  </definedNames>
  <calcPr calcId="145621"/>
</workbook>
</file>

<file path=xl/calcChain.xml><?xml version="1.0" encoding="utf-8"?>
<calcChain xmlns="http://schemas.openxmlformats.org/spreadsheetml/2006/main">
  <c r="D5" i="7" l="1"/>
  <c r="D4" i="7"/>
  <c r="C51" i="2"/>
  <c r="B51" i="2"/>
  <c r="B52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31" i="2"/>
  <c r="B26" i="2"/>
  <c r="B25" i="2"/>
  <c r="B17" i="2"/>
  <c r="B18" i="2"/>
  <c r="B16" i="2"/>
  <c r="B9" i="2"/>
  <c r="C9" i="2"/>
  <c r="B7" i="2"/>
  <c r="B8" i="2"/>
  <c r="B6" i="2"/>
  <c r="B5" i="2"/>
  <c r="C5" i="2"/>
  <c r="B3" i="2"/>
  <c r="B16" i="1" l="1"/>
  <c r="B27" i="2"/>
  <c r="I30" i="3"/>
  <c r="B4" i="2"/>
  <c r="C27" i="2" l="1"/>
  <c r="J12" i="3"/>
  <c r="K12" i="3"/>
  <c r="F14" i="3" l="1"/>
  <c r="D14" i="3"/>
  <c r="B20" i="1" l="1"/>
  <c r="B18" i="1"/>
  <c r="B27" i="1" s="1"/>
  <c r="B24" i="1"/>
  <c r="B25" i="1"/>
  <c r="B28" i="1" l="1"/>
  <c r="B28" i="2"/>
  <c r="C28" i="2"/>
  <c r="B17" i="1"/>
  <c r="B59" i="2"/>
  <c r="C59" i="2" s="1"/>
  <c r="B57" i="2"/>
  <c r="B58" i="2"/>
  <c r="B19" i="1"/>
  <c r="B15" i="2" l="1"/>
  <c r="C15" i="2" s="1"/>
  <c r="C57" i="2"/>
  <c r="C60" i="2" s="1"/>
  <c r="B60" i="2"/>
  <c r="B30" i="1"/>
  <c r="B29" i="1" s="1"/>
  <c r="C58" i="2"/>
  <c r="I12" i="3"/>
  <c r="I13" i="3"/>
  <c r="J13" i="3" s="1"/>
  <c r="I14" i="3"/>
  <c r="J14" i="3" s="1"/>
  <c r="K14" i="3" s="1"/>
  <c r="I15" i="3"/>
  <c r="J15" i="3" s="1"/>
  <c r="K15" i="3" s="1"/>
  <c r="I16" i="3"/>
  <c r="J16" i="3" s="1"/>
  <c r="K16" i="3" s="1"/>
  <c r="I17" i="3"/>
  <c r="J17" i="3" s="1"/>
  <c r="K17" i="3" s="1"/>
  <c r="I18" i="3"/>
  <c r="J18" i="3" s="1"/>
  <c r="K18" i="3" s="1"/>
  <c r="I19" i="3"/>
  <c r="J19" i="3" s="1"/>
  <c r="K19" i="3" s="1"/>
  <c r="I20" i="3"/>
  <c r="J20" i="3" s="1"/>
  <c r="K20" i="3" s="1"/>
  <c r="I21" i="3"/>
  <c r="J21" i="3" s="1"/>
  <c r="K21" i="3" s="1"/>
  <c r="I22" i="3"/>
  <c r="J22" i="3" s="1"/>
  <c r="K22" i="3" s="1"/>
  <c r="I23" i="3"/>
  <c r="J23" i="3" s="1"/>
  <c r="K23" i="3" s="1"/>
  <c r="I24" i="3"/>
  <c r="J24" i="3" s="1"/>
  <c r="K24" i="3" s="1"/>
  <c r="I25" i="3"/>
  <c r="J25" i="3" s="1"/>
  <c r="K25" i="3" s="1"/>
  <c r="I26" i="3"/>
  <c r="J26" i="3" s="1"/>
  <c r="K26" i="3" s="1"/>
  <c r="I27" i="3"/>
  <c r="J27" i="3" s="1"/>
  <c r="K27" i="3" s="1"/>
  <c r="I28" i="3"/>
  <c r="J28" i="3" s="1"/>
  <c r="K28" i="3" s="1"/>
  <c r="I29" i="3"/>
  <c r="J29" i="3" s="1"/>
  <c r="K29" i="3" s="1"/>
  <c r="C4" i="2"/>
  <c r="B19" i="2" l="1"/>
  <c r="B20" i="2" s="1"/>
  <c r="B14" i="2"/>
  <c r="C61" i="2"/>
  <c r="K13" i="3"/>
  <c r="K30" i="3" s="1"/>
  <c r="J30" i="3"/>
  <c r="C14" i="2"/>
  <c r="C19" i="2" s="1"/>
  <c r="B61" i="2"/>
  <c r="C20" i="2" l="1"/>
  <c r="C21" i="2" s="1"/>
  <c r="B21" i="2"/>
  <c r="B53" i="2"/>
  <c r="C53" i="2"/>
  <c r="C22" i="2" l="1"/>
  <c r="B22" i="2"/>
  <c r="D21" i="2"/>
  <c r="B54" i="2"/>
  <c r="C54" i="2"/>
  <c r="B47" i="2" l="1"/>
  <c r="C47" i="2"/>
  <c r="C64" i="2"/>
  <c r="C65" i="2" s="1"/>
  <c r="D65" i="2"/>
  <c r="B48" i="2" l="1"/>
  <c r="C48" i="2"/>
  <c r="C70" i="2"/>
  <c r="B64" i="2"/>
  <c r="B65" i="2" s="1"/>
  <c r="B70" i="2" l="1"/>
  <c r="D70" i="2" s="1"/>
  <c r="C66" i="2"/>
  <c r="B66" i="2"/>
  <c r="C10" i="2"/>
  <c r="B10" i="2"/>
  <c r="B71" i="2" s="1"/>
  <c r="C11" i="2" l="1"/>
  <c r="C71" i="2"/>
  <c r="C69" i="2" s="1"/>
  <c r="D71" i="2"/>
  <c r="B69" i="2"/>
  <c r="B11" i="2"/>
  <c r="F18" i="7" l="1"/>
  <c r="D15" i="7"/>
  <c r="D18" i="7"/>
  <c r="F22" i="7"/>
  <c r="G24" i="7"/>
  <c r="E21" i="7"/>
  <c r="H23" i="7"/>
  <c r="G20" i="7"/>
  <c r="E17" i="7"/>
  <c r="D22" i="7"/>
  <c r="F17" i="7"/>
  <c r="E18" i="7"/>
  <c r="G21" i="7"/>
  <c r="H15" i="7"/>
  <c r="H20" i="7"/>
  <c r="D23" i="7"/>
  <c r="H16" i="7"/>
  <c r="E20" i="7"/>
  <c r="F15" i="7"/>
  <c r="F20" i="7"/>
  <c r="E24" i="7"/>
  <c r="F16" i="7"/>
  <c r="G22" i="7"/>
  <c r="F21" i="7"/>
  <c r="D20" i="7"/>
  <c r="H19" i="7"/>
  <c r="E22" i="7"/>
  <c r="G15" i="7"/>
  <c r="E19" i="7"/>
  <c r="D24" i="7"/>
  <c r="H24" i="7"/>
  <c r="F23" i="7"/>
  <c r="G16" i="7"/>
  <c r="H18" i="7"/>
  <c r="E15" i="7"/>
  <c r="G18" i="7"/>
  <c r="H21" i="7"/>
  <c r="H17" i="7"/>
  <c r="D21" i="7"/>
  <c r="E16" i="7"/>
  <c r="D19" i="7"/>
  <c r="H22" i="7"/>
  <c r="F19" i="7"/>
  <c r="G23" i="7"/>
  <c r="E23" i="7"/>
  <c r="G19" i="7"/>
  <c r="D16" i="7"/>
  <c r="D17" i="7"/>
  <c r="F24" i="7"/>
  <c r="G17" i="7"/>
  <c r="D9" i="7"/>
  <c r="D7" i="7" l="1"/>
  <c r="G9" i="7"/>
  <c r="D6" i="7"/>
</calcChain>
</file>

<file path=xl/sharedStrings.xml><?xml version="1.0" encoding="utf-8"?>
<sst xmlns="http://schemas.openxmlformats.org/spreadsheetml/2006/main" count="160" uniqueCount="133">
  <si>
    <t>עלויות</t>
  </si>
  <si>
    <t>תכנון ויועצים</t>
  </si>
  <si>
    <t>תיווך</t>
  </si>
  <si>
    <t>ניתן לבנות</t>
  </si>
  <si>
    <t>בניינים</t>
  </si>
  <si>
    <t>סה"כ עלות</t>
  </si>
  <si>
    <t>בצ"מ</t>
  </si>
  <si>
    <t>סה"כ עלות בנייה ישירה</t>
  </si>
  <si>
    <t>מ"ר עיקרי</t>
  </si>
  <si>
    <t>חישוב עלויות בפרויקט</t>
  </si>
  <si>
    <t>קומה</t>
  </si>
  <si>
    <t>עלות הקרקע</t>
  </si>
  <si>
    <t>מס רכישה</t>
  </si>
  <si>
    <t>משפטיות</t>
  </si>
  <si>
    <t>סה"כ עלות הקרקע</t>
  </si>
  <si>
    <t>חישוב הכנסות בפרויקט</t>
  </si>
  <si>
    <t>רווח בפרויקט</t>
  </si>
  <si>
    <t>מס' דירה</t>
  </si>
  <si>
    <t>תאור הדירה</t>
  </si>
  <si>
    <t>הכנסות</t>
  </si>
  <si>
    <t>מעלויות</t>
  </si>
  <si>
    <t>מהווה</t>
  </si>
  <si>
    <t>רווח:</t>
  </si>
  <si>
    <t>נתוני הבחינה הכלכלית:</t>
  </si>
  <si>
    <t>ניתוח רגישות הרווח, ₪ ו % מעלויות</t>
  </si>
  <si>
    <t>ניהול ותקורה</t>
  </si>
  <si>
    <t>חיבור חשמל</t>
  </si>
  <si>
    <t>סה"כ</t>
  </si>
  <si>
    <t>אגרות בנייה</t>
  </si>
  <si>
    <t>היטל השבחה</t>
  </si>
  <si>
    <t>עלות למ"ר</t>
  </si>
  <si>
    <t>סה"כ עלות בנייה ישירה כולל בצ"מ</t>
  </si>
  <si>
    <t>אדריכל</t>
  </si>
  <si>
    <t>מודד</t>
  </si>
  <si>
    <t>מהנדס</t>
  </si>
  <si>
    <t>יועץ חשמל</t>
  </si>
  <si>
    <t>יועץ מיזוג</t>
  </si>
  <si>
    <t>העתקות שמש</t>
  </si>
  <si>
    <t>מכון תקנים</t>
  </si>
  <si>
    <t>עו"ד</t>
  </si>
  <si>
    <t>יועץ קרקע</t>
  </si>
  <si>
    <t>מעצבת פנים</t>
  </si>
  <si>
    <t>יועץ אינסטלציה</t>
  </si>
  <si>
    <t>יועץ בטיחות</t>
  </si>
  <si>
    <t>סה"כ עלות תכנון ויועצים</t>
  </si>
  <si>
    <t>שיווק ופרסום</t>
  </si>
  <si>
    <t>עמלת מכירה</t>
  </si>
  <si>
    <t>שמאי</t>
  </si>
  <si>
    <t>סה"כ עלות שיווק ופרסום</t>
  </si>
  <si>
    <t>יועצים נוספים</t>
  </si>
  <si>
    <t>חיבורי חשמל וגז</t>
  </si>
  <si>
    <t>חיבור גז</t>
  </si>
  <si>
    <t>עלות ליחידה</t>
  </si>
  <si>
    <t>סה"כ עלות חשמל וגז</t>
  </si>
  <si>
    <t>עלות הכסף</t>
  </si>
  <si>
    <t>ריבית - מימון</t>
  </si>
  <si>
    <t>סה"כ עלות הקמת הפרויקט</t>
  </si>
  <si>
    <t>גודל במ"ר גינה</t>
  </si>
  <si>
    <t>גודל במ"ר מרפסת</t>
  </si>
  <si>
    <t>הנחות יסוד</t>
  </si>
  <si>
    <t>שווי מ"ר מרפסות</t>
  </si>
  <si>
    <t>מחסן</t>
  </si>
  <si>
    <t>שווי מרתף דירתי</t>
  </si>
  <si>
    <t>גינה</t>
  </si>
  <si>
    <t>עיקרי</t>
  </si>
  <si>
    <t>מרתף דירתי</t>
  </si>
  <si>
    <t>שווי שוק כולל מע"מ - מחיר למ"ר בנוי</t>
  </si>
  <si>
    <t>שווי שוק כולל מע"מ</t>
  </si>
  <si>
    <t>מ"ר אקוויולנטי</t>
  </si>
  <si>
    <t>שווי שוק לפני מע"מ</t>
  </si>
  <si>
    <t>רווח יזמי ביחס לעלות</t>
  </si>
  <si>
    <t>רווח יזמי ביחס לשווי</t>
  </si>
  <si>
    <t>שטחי שירות</t>
  </si>
  <si>
    <t>שטחים עיקריים</t>
  </si>
  <si>
    <t>מרתף</t>
  </si>
  <si>
    <t>תכסית</t>
  </si>
  <si>
    <t>סה"כ קומות חלקיות</t>
  </si>
  <si>
    <t>שטח קומה חלקית</t>
  </si>
  <si>
    <t>סך שטח קומת מרתף</t>
  </si>
  <si>
    <t>סה"כ קומות מלאות - מעל כניסה קובעת</t>
  </si>
  <si>
    <t>שטח בנוי מקסימלי קומת קרקע כולל שירות</t>
  </si>
  <si>
    <t>סך שטח קומות חלקיות</t>
  </si>
  <si>
    <t>נתוני החלקה</t>
  </si>
  <si>
    <t>סה"כ שטח עיקרי</t>
  </si>
  <si>
    <t>שטח מרפסות</t>
  </si>
  <si>
    <t>הערות</t>
  </si>
  <si>
    <t>10%משטח הדירה או 12 מ"ר בנמוך מבניהם</t>
  </si>
  <si>
    <t>סה"כ שטח מרפסות</t>
  </si>
  <si>
    <t>סה"כ שטח בנוי עתידי כולל הכל</t>
  </si>
  <si>
    <t>סה"כ שטח שירות</t>
  </si>
  <si>
    <t>יש לבדוק האם שטחי השירות מחושבים לפי שטח המגרש או השטח העיקרי שנוצר</t>
  </si>
  <si>
    <t>סה"כ ממ"ד</t>
  </si>
  <si>
    <t>מעלית</t>
  </si>
  <si>
    <t>סה"כ עלות לפני מע"מ</t>
  </si>
  <si>
    <t>בדיקת הקרקע ע"י יועצים טרום רכישה</t>
  </si>
  <si>
    <t>פינוי פולשים ומפגעים</t>
  </si>
  <si>
    <t>מע"מ</t>
  </si>
  <si>
    <t>סה"כ עלות כולל מע"מ</t>
  </si>
  <si>
    <t>מכפיל חניה</t>
  </si>
  <si>
    <t>פיתוח מגרש</t>
  </si>
  <si>
    <t>כלי עזר</t>
  </si>
  <si>
    <t>כמאי</t>
  </si>
  <si>
    <t>סה"כ דירות</t>
  </si>
  <si>
    <t>סה"כ הלוואה</t>
  </si>
  <si>
    <t>משך הפרויקט בשנים</t>
  </si>
  <si>
    <t>ריבית שנתית ממוצעת</t>
  </si>
  <si>
    <t>דוודים</t>
  </si>
  <si>
    <t>עלות ליחידת דיור</t>
  </si>
  <si>
    <t>קרקע+ מרתף</t>
  </si>
  <si>
    <t>דירת גן</t>
  </si>
  <si>
    <t>אמצע</t>
  </si>
  <si>
    <t>דירה</t>
  </si>
  <si>
    <t>שנייה+שלישית</t>
  </si>
  <si>
    <t>פנטהאוז</t>
  </si>
  <si>
    <t>גוש</t>
  </si>
  <si>
    <t>חלקה</t>
  </si>
  <si>
    <t>סה"כ עלות הפרויקט ליחידת דיור</t>
  </si>
  <si>
    <t>בנייה</t>
  </si>
  <si>
    <t>אגרות בנייה והיטלים</t>
  </si>
  <si>
    <t>סיכום</t>
  </si>
  <si>
    <t>סה"כ עלות בנייה ישירה ועקיפה</t>
  </si>
  <si>
    <t>סה"כ עלות למ"ר לפני מע"מ</t>
  </si>
  <si>
    <t>סה"כ עלות קרקע ליחידה</t>
  </si>
  <si>
    <t>עלות מ"ר בנייה גינות</t>
  </si>
  <si>
    <t>עלות בנייה מ"ר ישיר כולל הכל</t>
  </si>
  <si>
    <t>סה"כ מ"ר בנוי ללא גינה</t>
  </si>
  <si>
    <t>סך שטח גינה</t>
  </si>
  <si>
    <t>הדמיות וחומר שיווקי</t>
  </si>
  <si>
    <t>גודל מגרש במ"ר</t>
  </si>
  <si>
    <t>גודל מינימלי לדירה לפי תב"ע</t>
  </si>
  <si>
    <t>סך עלויות הפרויקט:</t>
  </si>
  <si>
    <t xml:space="preserve">סך הכנסות הפרויקט: </t>
  </si>
  <si>
    <t>פרויקט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</si>
</sst>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.0"/>
  </numFmts>
  <fonts count="13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color theme="1"/>
      <name val="Heebo"/>
    </font>
    <font>
      <b/>
      <sz val="11"/>
      <color theme="1"/>
      <name val="Heebo"/>
    </font>
    <font>
      <b/>
      <sz val="14"/>
      <color theme="1"/>
      <name val="Heebo"/>
    </font>
    <font>
      <sz val="12"/>
      <name val="Heebo"/>
    </font>
    <font>
      <b/>
      <sz val="12"/>
      <name val="Heebo"/>
    </font>
    <font>
      <b/>
      <u/>
      <sz val="11"/>
      <color theme="1"/>
      <name val="Heebo"/>
    </font>
    <font>
      <sz val="10"/>
      <name val="Heebo"/>
    </font>
    <font>
      <b/>
      <u/>
      <sz val="11"/>
      <name val="Heebo"/>
    </font>
    <font>
      <b/>
      <sz val="11"/>
      <name val="Heebo"/>
    </font>
    <font>
      <sz val="11"/>
      <name val="Heebo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3" xfId="0" applyFont="1" applyBorder="1"/>
    <xf numFmtId="3" fontId="3" fillId="2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0" borderId="3" xfId="0" applyFont="1" applyFill="1" applyBorder="1"/>
    <xf numFmtId="0" fontId="3" fillId="0" borderId="0" xfId="0" applyFont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2" applyFont="1"/>
    <xf numFmtId="0" fontId="10" fillId="0" borderId="2" xfId="2" applyFont="1" applyBorder="1"/>
    <xf numFmtId="0" fontId="9" fillId="0" borderId="2" xfId="2" applyFont="1" applyBorder="1"/>
    <xf numFmtId="0" fontId="9" fillId="0" borderId="0" xfId="2" applyFont="1" applyBorder="1"/>
    <xf numFmtId="0" fontId="11" fillId="0" borderId="0" xfId="2" applyFont="1" applyBorder="1"/>
    <xf numFmtId="9" fontId="11" fillId="0" borderId="0" xfId="1" applyFont="1" applyBorder="1"/>
    <xf numFmtId="0" fontId="11" fillId="0" borderId="1" xfId="2" applyFont="1" applyBorder="1"/>
    <xf numFmtId="164" fontId="11" fillId="0" borderId="1" xfId="4" applyNumberFormat="1" applyFont="1" applyBorder="1"/>
    <xf numFmtId="10" fontId="11" fillId="2" borderId="1" xfId="3" applyNumberFormat="1" applyFont="1" applyFill="1" applyBorder="1"/>
    <xf numFmtId="0" fontId="12" fillId="0" borderId="0" xfId="2" applyFont="1"/>
    <xf numFmtId="3" fontId="12" fillId="0" borderId="5" xfId="4" applyNumberFormat="1" applyFont="1" applyBorder="1" applyAlignment="1">
      <alignment horizontal="center"/>
    </xf>
    <xf numFmtId="3" fontId="12" fillId="0" borderId="0" xfId="4" applyNumberFormat="1" applyFont="1" applyBorder="1" applyAlignment="1">
      <alignment horizontal="center"/>
    </xf>
    <xf numFmtId="3" fontId="12" fillId="3" borderId="5" xfId="4" applyNumberFormat="1" applyFont="1" applyFill="1" applyBorder="1" applyAlignment="1">
      <alignment horizontal="center"/>
    </xf>
    <xf numFmtId="10" fontId="12" fillId="0" borderId="4" xfId="3" applyNumberFormat="1" applyFont="1" applyBorder="1" applyAlignment="1">
      <alignment horizontal="center"/>
    </xf>
    <xf numFmtId="10" fontId="12" fillId="0" borderId="0" xfId="3" applyNumberFormat="1" applyFont="1" applyBorder="1" applyAlignment="1">
      <alignment horizontal="center"/>
    </xf>
    <xf numFmtId="10" fontId="10" fillId="3" borderId="4" xfId="3" applyNumberFormat="1" applyFont="1" applyFill="1" applyBorder="1" applyAlignment="1">
      <alignment horizontal="center"/>
    </xf>
    <xf numFmtId="3" fontId="12" fillId="0" borderId="11" xfId="4" applyNumberFormat="1" applyFont="1" applyBorder="1" applyAlignment="1">
      <alignment horizontal="center"/>
    </xf>
    <xf numFmtId="10" fontId="12" fillId="0" borderId="11" xfId="3" applyNumberFormat="1" applyFont="1" applyBorder="1" applyAlignment="1">
      <alignment horizontal="center"/>
    </xf>
    <xf numFmtId="10" fontId="12" fillId="0" borderId="1" xfId="3" applyNumberFormat="1" applyFont="1" applyBorder="1" applyAlignment="1">
      <alignment horizontal="center"/>
    </xf>
    <xf numFmtId="0" fontId="11" fillId="0" borderId="3" xfId="2" applyFont="1" applyBorder="1"/>
    <xf numFmtId="164" fontId="11" fillId="0" borderId="3" xfId="4" applyNumberFormat="1" applyFont="1" applyBorder="1"/>
    <xf numFmtId="9" fontId="12" fillId="0" borderId="3" xfId="1" applyFont="1" applyBorder="1" applyAlignment="1">
      <alignment horizontal="center"/>
    </xf>
    <xf numFmtId="0" fontId="6" fillId="2" borderId="3" xfId="0" applyFont="1" applyFill="1" applyBorder="1" applyAlignment="1">
      <alignment readingOrder="1"/>
    </xf>
    <xf numFmtId="0" fontId="6" fillId="2" borderId="3" xfId="0" applyFont="1" applyFill="1" applyBorder="1" applyAlignment="1">
      <alignment readingOrder="2"/>
    </xf>
    <xf numFmtId="3" fontId="6" fillId="2" borderId="3" xfId="0" applyNumberFormat="1" applyFont="1" applyFill="1" applyBorder="1" applyAlignment="1">
      <alignment horizontal="center" vertical="center" wrapText="1" readingOrder="1"/>
    </xf>
    <xf numFmtId="3" fontId="6" fillId="0" borderId="3" xfId="0" applyNumberFormat="1" applyFont="1" applyFill="1" applyBorder="1" applyAlignment="1">
      <alignment horizontal="center" vertical="center" wrapText="1" readingOrder="1"/>
    </xf>
    <xf numFmtId="3" fontId="6" fillId="0" borderId="8" xfId="0" applyNumberFormat="1" applyFont="1" applyFill="1" applyBorder="1" applyAlignment="1">
      <alignment horizontal="center" vertical="center" wrapText="1" readingOrder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readingOrder="1"/>
    </xf>
    <xf numFmtId="0" fontId="3" fillId="2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9" fontId="3" fillId="2" borderId="3" xfId="1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3" fillId="2" borderId="3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0" fontId="3" fillId="0" borderId="17" xfId="0" applyFont="1" applyBorder="1"/>
    <xf numFmtId="0" fontId="3" fillId="2" borderId="18" xfId="0" applyFont="1" applyFill="1" applyBorder="1"/>
    <xf numFmtId="0" fontId="3" fillId="0" borderId="19" xfId="0" applyFont="1" applyBorder="1"/>
    <xf numFmtId="0" fontId="3" fillId="2" borderId="20" xfId="0" applyFont="1" applyFill="1" applyBorder="1"/>
    <xf numFmtId="0" fontId="4" fillId="0" borderId="0" xfId="0" applyFont="1" applyBorder="1" applyAlignment="1">
      <alignment horizontal="right"/>
    </xf>
    <xf numFmtId="0" fontId="4" fillId="4" borderId="3" xfId="0" applyFont="1" applyFill="1" applyBorder="1"/>
    <xf numFmtId="3" fontId="4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7" fillId="0" borderId="12" xfId="0" applyFont="1" applyFill="1" applyBorder="1" applyAlignment="1">
      <alignment horizontal="center" vertical="center" wrapText="1" readingOrder="2"/>
    </xf>
    <xf numFmtId="0" fontId="7" fillId="0" borderId="4" xfId="0" applyFont="1" applyFill="1" applyBorder="1" applyAlignment="1">
      <alignment horizontal="center" vertical="center" wrapText="1" readingOrder="2"/>
    </xf>
    <xf numFmtId="0" fontId="7" fillId="0" borderId="13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 readingOrder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9" fontId="11" fillId="0" borderId="3" xfId="2" applyNumberFormat="1" applyFont="1" applyBorder="1" applyAlignment="1">
      <alignment horizontal="center" vertical="center" wrapText="1"/>
    </xf>
    <xf numFmtId="9" fontId="11" fillId="0" borderId="5" xfId="2" applyNumberFormat="1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 vertical="center" wrapText="1"/>
    </xf>
    <xf numFmtId="9" fontId="11" fillId="0" borderId="8" xfId="2" applyNumberFormat="1" applyFont="1" applyBorder="1" applyAlignment="1">
      <alignment horizontal="center" vertical="center" wrapText="1"/>
    </xf>
  </cellXfs>
  <cellStyles count="5">
    <cellStyle name="Comma 2" xfId="4"/>
    <cellStyle name="Normal" xfId="0" builtinId="0"/>
    <cellStyle name="Normal 2" xfId="2"/>
    <cellStyle name="Percent" xfId="1" builtinId="5"/>
    <cellStyle name="Percent 2" xfId="3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1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טבלה1" displayName="טבלה1" ref="A11:K30" totalsRowCount="1" headerRowDxfId="27" dataDxfId="25" totalsRowDxfId="23" headerRowBorderDxfId="26" tableBorderDxfId="24" totalsRowBorderDxfId="22">
  <autoFilter ref="A11:K29"/>
  <tableColumns count="11">
    <tableColumn id="1" name="מס' דירה" totalsRowLabel="סה&quot;כ" dataDxfId="21" totalsRowDxfId="20"/>
    <tableColumn id="2" name="קומה" dataDxfId="19" totalsRowDxfId="18"/>
    <tableColumn id="3" name="תאור הדירה" dataDxfId="17" totalsRowDxfId="16"/>
    <tableColumn id="4" name="מ&quot;ר עיקרי" dataDxfId="15" totalsRowDxfId="14"/>
    <tableColumn id="5" name="גודל במ&quot;ר גינה" dataDxfId="13" totalsRowDxfId="12"/>
    <tableColumn id="6" name="גודל במ&quot;ר מרפסת" dataDxfId="11" totalsRowDxfId="10"/>
    <tableColumn id="7" name="מרתף דירתי" dataDxfId="9" totalsRowDxfId="8"/>
    <tableColumn id="8" name="מחסן" dataDxfId="7" totalsRowDxfId="6"/>
    <tableColumn id="9" name="מ&quot;ר אקוויולנטי" totalsRowFunction="sum" dataDxfId="5" totalsRowDxfId="4">
      <calculatedColumnFormula>(D12*$B$9)+(E12*$B$8)+(F12*$B$5)+(G12*$B$6)+(H12*$B$7)</calculatedColumnFormula>
    </tableColumn>
    <tableColumn id="10" name="שווי שוק כולל מע&quot;מ" totalsRowFunction="sum" dataDxfId="3" totalsRowDxfId="2">
      <calculatedColumnFormula>I12*$B$4</calculatedColumnFormula>
    </tableColumn>
    <tableColumn id="11" name="שווי שוק לפני מע&quot;מ" totalsRowFunction="sum" dataDxfId="1" totalsRowDxfId="0">
      <calculatedColumnFormula>טבלה1[[#This Row],[שווי שוק כולל מע"מ]]/1.17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rightToLeft="1" tabSelected="1" workbookViewId="0">
      <selection activeCell="B5" sqref="B5"/>
    </sheetView>
  </sheetViews>
  <sheetFormatPr defaultColWidth="8.85546875" defaultRowHeight="18" x14ac:dyDescent="0.4"/>
  <cols>
    <col min="1" max="1" width="39.7109375" style="1" bestFit="1" customWidth="1"/>
    <col min="2" max="2" width="6" style="71" bestFit="1" customWidth="1"/>
    <col min="3" max="3" width="74.42578125" style="1" bestFit="1" customWidth="1"/>
    <col min="4" max="16384" width="8.85546875" style="1"/>
  </cols>
  <sheetData>
    <row r="1" spans="1:4" ht="48.75" customHeight="1" x14ac:dyDescent="0.4">
      <c r="A1" s="96" t="s">
        <v>132</v>
      </c>
      <c r="B1" s="96"/>
      <c r="C1" s="96"/>
    </row>
    <row r="2" spans="1:4" x14ac:dyDescent="0.4">
      <c r="A2" s="94" t="s">
        <v>114</v>
      </c>
      <c r="B2" s="95"/>
      <c r="C2" s="17"/>
    </row>
    <row r="3" spans="1:4" x14ac:dyDescent="0.4">
      <c r="A3" s="14" t="s">
        <v>115</v>
      </c>
      <c r="B3" s="64"/>
      <c r="C3" s="5"/>
    </row>
    <row r="4" spans="1:4" ht="17.45" x14ac:dyDescent="0.5">
      <c r="A4" s="5"/>
      <c r="B4" s="61"/>
      <c r="C4" s="5"/>
    </row>
    <row r="5" spans="1:4" x14ac:dyDescent="0.4">
      <c r="A5" s="62" t="s">
        <v>82</v>
      </c>
      <c r="B5" s="63"/>
      <c r="C5" s="2" t="s">
        <v>85</v>
      </c>
    </row>
    <row r="6" spans="1:4" x14ac:dyDescent="0.4">
      <c r="A6" s="14" t="s">
        <v>128</v>
      </c>
      <c r="B6" s="65">
        <v>160</v>
      </c>
      <c r="C6" s="14"/>
    </row>
    <row r="7" spans="1:4" x14ac:dyDescent="0.4">
      <c r="A7" s="14" t="s">
        <v>72</v>
      </c>
      <c r="B7" s="66">
        <v>0.25</v>
      </c>
      <c r="C7" s="14"/>
    </row>
    <row r="8" spans="1:4" x14ac:dyDescent="0.4">
      <c r="A8" s="14" t="s">
        <v>73</v>
      </c>
      <c r="B8" s="67">
        <v>1.6</v>
      </c>
      <c r="C8" s="14"/>
      <c r="D8" s="15"/>
    </row>
    <row r="9" spans="1:4" x14ac:dyDescent="0.4">
      <c r="A9" s="14" t="s">
        <v>74</v>
      </c>
      <c r="B9" s="67">
        <v>0.8</v>
      </c>
      <c r="C9" s="14"/>
      <c r="D9" s="15"/>
    </row>
    <row r="10" spans="1:4" x14ac:dyDescent="0.4">
      <c r="A10" s="14" t="s">
        <v>75</v>
      </c>
      <c r="B10" s="67">
        <v>0.7</v>
      </c>
      <c r="C10" s="14"/>
      <c r="D10" s="15"/>
    </row>
    <row r="11" spans="1:4" x14ac:dyDescent="0.4">
      <c r="A11" s="14" t="s">
        <v>129</v>
      </c>
      <c r="B11" s="64">
        <v>90</v>
      </c>
      <c r="C11" s="14"/>
      <c r="D11" s="15"/>
    </row>
    <row r="12" spans="1:4" x14ac:dyDescent="0.4">
      <c r="A12" s="14" t="s">
        <v>84</v>
      </c>
      <c r="B12" s="97" t="s">
        <v>86</v>
      </c>
      <c r="C12" s="98"/>
      <c r="D12" s="15"/>
    </row>
    <row r="13" spans="1:4" ht="17.45" x14ac:dyDescent="0.5">
      <c r="A13" s="5"/>
      <c r="B13" s="61"/>
      <c r="C13" s="5"/>
      <c r="D13" s="15"/>
    </row>
    <row r="14" spans="1:4" x14ac:dyDescent="0.4">
      <c r="A14" s="62" t="s">
        <v>3</v>
      </c>
      <c r="B14" s="68" t="s">
        <v>27</v>
      </c>
      <c r="C14" s="2" t="s">
        <v>85</v>
      </c>
      <c r="D14" s="15"/>
    </row>
    <row r="15" spans="1:4" x14ac:dyDescent="0.4">
      <c r="A15" s="14" t="s">
        <v>4</v>
      </c>
      <c r="B15" s="7">
        <v>1</v>
      </c>
      <c r="C15" s="14"/>
      <c r="D15" s="15"/>
    </row>
    <row r="16" spans="1:4" x14ac:dyDescent="0.4">
      <c r="A16" s="14" t="s">
        <v>80</v>
      </c>
      <c r="B16" s="69">
        <f>B10*B6</f>
        <v>112</v>
      </c>
      <c r="C16" s="14"/>
      <c r="D16" s="15"/>
    </row>
    <row r="17" spans="1:4" x14ac:dyDescent="0.4">
      <c r="A17" s="14" t="s">
        <v>91</v>
      </c>
      <c r="B17" s="8">
        <f>B27</f>
        <v>2.8444444444444446</v>
      </c>
      <c r="C17" s="14"/>
      <c r="D17" s="15"/>
    </row>
    <row r="18" spans="1:4" x14ac:dyDescent="0.4">
      <c r="A18" s="14" t="s">
        <v>83</v>
      </c>
      <c r="B18" s="8">
        <f>B6*B8</f>
        <v>256</v>
      </c>
      <c r="C18" s="14"/>
      <c r="D18" s="15"/>
    </row>
    <row r="19" spans="1:4" x14ac:dyDescent="0.4">
      <c r="A19" s="14" t="s">
        <v>89</v>
      </c>
      <c r="B19" s="69">
        <f>B18*B7</f>
        <v>64</v>
      </c>
      <c r="C19" s="14" t="s">
        <v>90</v>
      </c>
      <c r="D19" s="15"/>
    </row>
    <row r="20" spans="1:4" x14ac:dyDescent="0.4">
      <c r="A20" s="14" t="s">
        <v>87</v>
      </c>
      <c r="B20" s="70">
        <f>8.6+8.6+33</f>
        <v>50.2</v>
      </c>
      <c r="C20" s="14"/>
      <c r="D20" s="15"/>
    </row>
    <row r="21" spans="1:4" x14ac:dyDescent="0.4">
      <c r="A21" s="14" t="s">
        <v>79</v>
      </c>
      <c r="B21" s="7">
        <v>3</v>
      </c>
      <c r="C21" s="14"/>
      <c r="D21" s="15"/>
    </row>
    <row r="22" spans="1:4" x14ac:dyDescent="0.4">
      <c r="A22" s="14" t="s">
        <v>76</v>
      </c>
      <c r="B22" s="7">
        <v>1</v>
      </c>
      <c r="C22" s="14"/>
      <c r="D22" s="15"/>
    </row>
    <row r="23" spans="1:4" x14ac:dyDescent="0.4">
      <c r="A23" s="14" t="s">
        <v>77</v>
      </c>
      <c r="B23" s="7">
        <v>82</v>
      </c>
      <c r="C23" s="14"/>
      <c r="D23" s="15"/>
    </row>
    <row r="24" spans="1:4" x14ac:dyDescent="0.4">
      <c r="A24" s="14" t="s">
        <v>81</v>
      </c>
      <c r="B24" s="8">
        <f>B23*B22</f>
        <v>82</v>
      </c>
      <c r="C24" s="14"/>
      <c r="D24" s="15"/>
    </row>
    <row r="25" spans="1:4" x14ac:dyDescent="0.4">
      <c r="A25" s="14" t="s">
        <v>78</v>
      </c>
      <c r="B25" s="8">
        <f>B6*B9</f>
        <v>128</v>
      </c>
      <c r="C25" s="14"/>
      <c r="D25" s="15"/>
    </row>
    <row r="26" spans="1:4" x14ac:dyDescent="0.4">
      <c r="A26" s="14" t="s">
        <v>4</v>
      </c>
      <c r="B26" s="7">
        <v>1</v>
      </c>
      <c r="C26" s="14"/>
      <c r="D26" s="15"/>
    </row>
    <row r="27" spans="1:4" x14ac:dyDescent="0.4">
      <c r="A27" s="14" t="s">
        <v>102</v>
      </c>
      <c r="B27" s="8">
        <f>B18/B11</f>
        <v>2.8444444444444446</v>
      </c>
      <c r="C27" s="14"/>
      <c r="D27" s="15"/>
    </row>
    <row r="28" spans="1:4" x14ac:dyDescent="0.4">
      <c r="A28" s="14" t="s">
        <v>126</v>
      </c>
      <c r="B28" s="8">
        <f>B6-B16</f>
        <v>48</v>
      </c>
      <c r="C28" s="14"/>
      <c r="D28" s="15"/>
    </row>
    <row r="29" spans="1:4" x14ac:dyDescent="0.4">
      <c r="A29" s="14" t="s">
        <v>125</v>
      </c>
      <c r="B29" s="68">
        <f>B30-B28</f>
        <v>596.20000000000005</v>
      </c>
      <c r="C29" s="14"/>
      <c r="D29" s="15"/>
    </row>
    <row r="30" spans="1:4" x14ac:dyDescent="0.4">
      <c r="A30" s="14" t="s">
        <v>88</v>
      </c>
      <c r="B30" s="9">
        <f>(B16*B21)+B24+B25+B20+B28</f>
        <v>644.20000000000005</v>
      </c>
      <c r="C30" s="14"/>
      <c r="D30" s="15"/>
    </row>
    <row r="37" spans="4:4" x14ac:dyDescent="0.4">
      <c r="D37" s="15"/>
    </row>
    <row r="38" spans="4:4" x14ac:dyDescent="0.4">
      <c r="D38" s="15"/>
    </row>
    <row r="39" spans="4:4" x14ac:dyDescent="0.4">
      <c r="D39" s="15"/>
    </row>
  </sheetData>
  <mergeCells count="2">
    <mergeCell ref="A1:C1"/>
    <mergeCell ref="B12:C1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rightToLeft="1" zoomScaleNormal="100" workbookViewId="0">
      <pane ySplit="1" topLeftCell="A56" activePane="bottomLeft" state="frozen"/>
      <selection pane="bottomLeft" activeCell="B40" sqref="B40"/>
    </sheetView>
  </sheetViews>
  <sheetFormatPr defaultColWidth="9.140625" defaultRowHeight="18" x14ac:dyDescent="0.4"/>
  <cols>
    <col min="1" max="1" width="40.85546875" style="1" bestFit="1" customWidth="1"/>
    <col min="2" max="2" width="21.7109375" style="1" customWidth="1"/>
    <col min="3" max="3" width="21.7109375" style="19" customWidth="1"/>
    <col min="4" max="4" width="26.5703125" style="18" bestFit="1" customWidth="1"/>
    <col min="5" max="5" width="20.140625" style="1" bestFit="1" customWidth="1"/>
    <col min="6" max="6" width="19.7109375" style="1" bestFit="1" customWidth="1"/>
    <col min="7" max="16384" width="9.140625" style="1"/>
  </cols>
  <sheetData>
    <row r="1" spans="1:9" ht="54.75" customHeight="1" x14ac:dyDescent="0.4">
      <c r="A1" s="96" t="s">
        <v>9</v>
      </c>
      <c r="B1" s="96"/>
      <c r="C1" s="96"/>
      <c r="D1" s="96"/>
      <c r="H1" s="99" t="s">
        <v>100</v>
      </c>
      <c r="I1" s="100"/>
    </row>
    <row r="2" spans="1:9" x14ac:dyDescent="0.4">
      <c r="A2" s="2" t="s">
        <v>11</v>
      </c>
      <c r="B2" s="2" t="s">
        <v>93</v>
      </c>
      <c r="C2" s="3" t="s">
        <v>97</v>
      </c>
      <c r="D2" s="4"/>
      <c r="H2" s="74" t="s">
        <v>96</v>
      </c>
      <c r="I2" s="75">
        <v>1.17</v>
      </c>
    </row>
    <row r="3" spans="1:9" ht="18.75" thickBot="1" x14ac:dyDescent="0.45">
      <c r="A3" s="6" t="s">
        <v>11</v>
      </c>
      <c r="B3" s="8">
        <f>C3/$I$2</f>
        <v>2200000</v>
      </c>
      <c r="C3" s="7">
        <v>2574000</v>
      </c>
      <c r="D3" s="4"/>
      <c r="H3" s="76" t="s">
        <v>6</v>
      </c>
      <c r="I3" s="77">
        <v>7.0000000000000007E-2</v>
      </c>
    </row>
    <row r="4" spans="1:9" x14ac:dyDescent="0.4">
      <c r="A4" s="6" t="s">
        <v>12</v>
      </c>
      <c r="B4" s="8">
        <f>D4*B3</f>
        <v>132000</v>
      </c>
      <c r="C4" s="8">
        <f>D4*C3</f>
        <v>154440</v>
      </c>
      <c r="D4" s="13">
        <v>0.06</v>
      </c>
    </row>
    <row r="5" spans="1:9" x14ac:dyDescent="0.4">
      <c r="A5" s="6" t="s">
        <v>2</v>
      </c>
      <c r="B5" s="8">
        <f>C5/$I$2</f>
        <v>51480</v>
      </c>
      <c r="C5" s="8">
        <f>C3*D5*I2</f>
        <v>60231.6</v>
      </c>
      <c r="D5" s="72">
        <v>0.02</v>
      </c>
    </row>
    <row r="6" spans="1:9" x14ac:dyDescent="0.4">
      <c r="A6" s="6" t="s">
        <v>94</v>
      </c>
      <c r="B6" s="8">
        <f>C6/$I$2</f>
        <v>0</v>
      </c>
      <c r="C6" s="7"/>
      <c r="D6" s="4"/>
    </row>
    <row r="7" spans="1:9" x14ac:dyDescent="0.4">
      <c r="A7" s="6" t="s">
        <v>29</v>
      </c>
      <c r="B7" s="8">
        <f t="shared" ref="B7:B8" si="0">C7/$I$2</f>
        <v>0</v>
      </c>
      <c r="C7" s="7"/>
      <c r="D7" s="4"/>
    </row>
    <row r="8" spans="1:9" x14ac:dyDescent="0.4">
      <c r="A8" s="6" t="s">
        <v>95</v>
      </c>
      <c r="B8" s="8">
        <f t="shared" si="0"/>
        <v>299145.29914529918</v>
      </c>
      <c r="C8" s="7">
        <v>350000</v>
      </c>
      <c r="D8" s="4"/>
    </row>
    <row r="9" spans="1:9" x14ac:dyDescent="0.4">
      <c r="A9" s="6" t="s">
        <v>13</v>
      </c>
      <c r="B9" s="8">
        <f>C9/$I$2</f>
        <v>12870</v>
      </c>
      <c r="C9" s="8">
        <f>C3*D9*I2</f>
        <v>15057.9</v>
      </c>
      <c r="D9" s="13">
        <v>5.0000000000000001E-3</v>
      </c>
    </row>
    <row r="10" spans="1:9" x14ac:dyDescent="0.4">
      <c r="A10" s="2" t="s">
        <v>14</v>
      </c>
      <c r="B10" s="9">
        <f>SUM(B3:B9)</f>
        <v>2695495.299145299</v>
      </c>
      <c r="C10" s="9">
        <f>SUM(C3:C9)</f>
        <v>3153729.5</v>
      </c>
      <c r="D10" s="4"/>
    </row>
    <row r="11" spans="1:9" x14ac:dyDescent="0.4">
      <c r="A11" s="79" t="s">
        <v>122</v>
      </c>
      <c r="B11" s="80">
        <f>B10/נתונים!B27</f>
        <v>947635.06610576913</v>
      </c>
      <c r="C11" s="80">
        <f>C10/נתונים!B27</f>
        <v>1108733.02734375</v>
      </c>
      <c r="D11" s="81"/>
    </row>
    <row r="12" spans="1:9" x14ac:dyDescent="0.4">
      <c r="A12" s="5"/>
      <c r="B12" s="5"/>
      <c r="C12" s="10"/>
      <c r="D12" s="11"/>
    </row>
    <row r="13" spans="1:9" x14ac:dyDescent="0.4">
      <c r="A13" s="2" t="s">
        <v>117</v>
      </c>
      <c r="B13" s="2" t="s">
        <v>93</v>
      </c>
      <c r="C13" s="9" t="s">
        <v>97</v>
      </c>
      <c r="D13" s="12" t="s">
        <v>30</v>
      </c>
    </row>
    <row r="14" spans="1:9" x14ac:dyDescent="0.4">
      <c r="A14" s="6" t="s">
        <v>124</v>
      </c>
      <c r="B14" s="8">
        <f>D14*נתונים!B29</f>
        <v>4173400.0000000005</v>
      </c>
      <c r="C14" s="8">
        <f>B14*$I$2</f>
        <v>4882878</v>
      </c>
      <c r="D14" s="7">
        <v>7000</v>
      </c>
    </row>
    <row r="15" spans="1:9" x14ac:dyDescent="0.4">
      <c r="A15" s="6" t="s">
        <v>123</v>
      </c>
      <c r="B15" s="8">
        <f>D15*נתונים!B28</f>
        <v>72000</v>
      </c>
      <c r="C15" s="8">
        <f>B15*$I$2</f>
        <v>84240</v>
      </c>
      <c r="D15" s="7">
        <v>1500</v>
      </c>
    </row>
    <row r="16" spans="1:9" x14ac:dyDescent="0.4">
      <c r="A16" s="6" t="s">
        <v>92</v>
      </c>
      <c r="B16" s="8">
        <f>C16/$I$2</f>
        <v>130000.00000000001</v>
      </c>
      <c r="C16" s="7">
        <v>152100</v>
      </c>
      <c r="D16" s="4"/>
    </row>
    <row r="17" spans="1:4" x14ac:dyDescent="0.4">
      <c r="A17" s="6" t="s">
        <v>99</v>
      </c>
      <c r="B17" s="8">
        <f t="shared" ref="B17:B18" si="1">C17/$I$2</f>
        <v>0</v>
      </c>
      <c r="C17" s="7">
        <v>0</v>
      </c>
      <c r="D17" s="4"/>
    </row>
    <row r="18" spans="1:4" x14ac:dyDescent="0.4">
      <c r="A18" s="6" t="s">
        <v>98</v>
      </c>
      <c r="B18" s="8">
        <f t="shared" si="1"/>
        <v>62000.000000000007</v>
      </c>
      <c r="C18" s="7">
        <v>72540</v>
      </c>
      <c r="D18" s="4"/>
    </row>
    <row r="19" spans="1:4" x14ac:dyDescent="0.4">
      <c r="A19" s="6" t="s">
        <v>7</v>
      </c>
      <c r="B19" s="73">
        <f>SUM(B14:B18)</f>
        <v>4437400</v>
      </c>
      <c r="C19" s="8">
        <f>SUM(C14:C18)</f>
        <v>5191758</v>
      </c>
      <c r="D19" s="4"/>
    </row>
    <row r="20" spans="1:4" x14ac:dyDescent="0.4">
      <c r="A20" s="6" t="s">
        <v>6</v>
      </c>
      <c r="B20" s="73">
        <f>B19*$I$3</f>
        <v>310618.00000000006</v>
      </c>
      <c r="C20" s="8">
        <f>B20*$I$2</f>
        <v>363423.06000000006</v>
      </c>
      <c r="D20" s="4"/>
    </row>
    <row r="21" spans="1:4" x14ac:dyDescent="0.4">
      <c r="A21" s="2" t="s">
        <v>31</v>
      </c>
      <c r="B21" s="68">
        <f>B20+B19</f>
        <v>4748018</v>
      </c>
      <c r="C21" s="68">
        <f>C20+C19</f>
        <v>5555181.0600000005</v>
      </c>
      <c r="D21" s="68">
        <f>B21/נתונים!B29</f>
        <v>7963.8007380073796</v>
      </c>
    </row>
    <row r="22" spans="1:4" x14ac:dyDescent="0.4">
      <c r="A22" s="79" t="s">
        <v>107</v>
      </c>
      <c r="B22" s="80">
        <f>B21/נתונים!B27</f>
        <v>1669225.078125</v>
      </c>
      <c r="C22" s="80">
        <f>C21/נתונים!B27</f>
        <v>1952993.3414062501</v>
      </c>
      <c r="D22" s="80"/>
    </row>
    <row r="23" spans="1:4" x14ac:dyDescent="0.4">
      <c r="A23" s="5"/>
      <c r="B23" s="5"/>
      <c r="C23" s="10"/>
      <c r="D23" s="11"/>
    </row>
    <row r="24" spans="1:4" x14ac:dyDescent="0.4">
      <c r="A24" s="2" t="s">
        <v>118</v>
      </c>
      <c r="B24" s="2" t="s">
        <v>93</v>
      </c>
      <c r="C24" s="9" t="s">
        <v>97</v>
      </c>
      <c r="D24" s="4"/>
    </row>
    <row r="25" spans="1:4" x14ac:dyDescent="0.4">
      <c r="A25" s="14" t="s">
        <v>28</v>
      </c>
      <c r="B25" s="8">
        <f>C25/$I$2</f>
        <v>227000</v>
      </c>
      <c r="C25" s="7">
        <v>265590</v>
      </c>
      <c r="D25" s="4"/>
    </row>
    <row r="26" spans="1:4" x14ac:dyDescent="0.4">
      <c r="A26" s="14" t="s">
        <v>29</v>
      </c>
      <c r="B26" s="8">
        <f>C26/$I$2</f>
        <v>74000</v>
      </c>
      <c r="C26" s="7">
        <v>86580</v>
      </c>
      <c r="D26" s="4"/>
    </row>
    <row r="27" spans="1:4" x14ac:dyDescent="0.4">
      <c r="A27" s="2" t="s">
        <v>5</v>
      </c>
      <c r="B27" s="68">
        <f>SUM(B25:B26)</f>
        <v>301000</v>
      </c>
      <c r="C27" s="68">
        <f>SUM(C25:C26)</f>
        <v>352170</v>
      </c>
      <c r="D27" s="2"/>
    </row>
    <row r="28" spans="1:4" x14ac:dyDescent="0.4">
      <c r="A28" s="79" t="s">
        <v>107</v>
      </c>
      <c r="B28" s="80">
        <f>B27/נתונים!B27</f>
        <v>105820.3125</v>
      </c>
      <c r="C28" s="80">
        <f>C27/נתונים!B27</f>
        <v>123809.765625</v>
      </c>
      <c r="D28" s="80"/>
    </row>
    <row r="29" spans="1:4" x14ac:dyDescent="0.4">
      <c r="A29" s="5"/>
      <c r="B29" s="5"/>
      <c r="C29" s="10"/>
      <c r="D29" s="11"/>
    </row>
    <row r="30" spans="1:4" x14ac:dyDescent="0.4">
      <c r="A30" s="2" t="s">
        <v>1</v>
      </c>
      <c r="B30" s="2" t="s">
        <v>93</v>
      </c>
      <c r="C30" s="9" t="s">
        <v>97</v>
      </c>
      <c r="D30" s="6"/>
    </row>
    <row r="31" spans="1:4" x14ac:dyDescent="0.4">
      <c r="A31" s="6" t="s">
        <v>32</v>
      </c>
      <c r="B31" s="8">
        <f>C31/$I$2</f>
        <v>126700.00000000001</v>
      </c>
      <c r="C31" s="7">
        <v>148239</v>
      </c>
      <c r="D31" s="6"/>
    </row>
    <row r="32" spans="1:4" x14ac:dyDescent="0.4">
      <c r="A32" s="6" t="s">
        <v>33</v>
      </c>
      <c r="B32" s="8">
        <f t="shared" ref="B32:B46" si="2">C32/$I$2</f>
        <v>11000</v>
      </c>
      <c r="C32" s="7">
        <v>12870</v>
      </c>
      <c r="D32" s="6"/>
    </row>
    <row r="33" spans="1:4" x14ac:dyDescent="0.4">
      <c r="A33" s="6" t="s">
        <v>34</v>
      </c>
      <c r="B33" s="8">
        <f t="shared" si="2"/>
        <v>25000</v>
      </c>
      <c r="C33" s="7">
        <v>29250</v>
      </c>
      <c r="D33" s="6"/>
    </row>
    <row r="34" spans="1:4" x14ac:dyDescent="0.4">
      <c r="A34" s="6" t="s">
        <v>35</v>
      </c>
      <c r="B34" s="8">
        <f t="shared" si="2"/>
        <v>13500</v>
      </c>
      <c r="C34" s="7">
        <v>15795</v>
      </c>
      <c r="D34" s="6"/>
    </row>
    <row r="35" spans="1:4" x14ac:dyDescent="0.4">
      <c r="A35" s="6" t="s">
        <v>47</v>
      </c>
      <c r="B35" s="8">
        <f t="shared" si="2"/>
        <v>7500.0000000000009</v>
      </c>
      <c r="C35" s="7">
        <v>8775</v>
      </c>
      <c r="D35" s="6"/>
    </row>
    <row r="36" spans="1:4" x14ac:dyDescent="0.4">
      <c r="A36" s="6" t="s">
        <v>36</v>
      </c>
      <c r="B36" s="8">
        <f t="shared" si="2"/>
        <v>7500.0000000000009</v>
      </c>
      <c r="C36" s="7">
        <v>8775</v>
      </c>
      <c r="D36" s="6"/>
    </row>
    <row r="37" spans="1:4" x14ac:dyDescent="0.4">
      <c r="A37" s="6" t="s">
        <v>25</v>
      </c>
      <c r="B37" s="8">
        <f t="shared" si="2"/>
        <v>94960.683760683765</v>
      </c>
      <c r="C37" s="7">
        <v>111104</v>
      </c>
      <c r="D37" s="67">
        <v>0.02</v>
      </c>
    </row>
    <row r="38" spans="1:4" x14ac:dyDescent="0.4">
      <c r="A38" s="6" t="s">
        <v>37</v>
      </c>
      <c r="B38" s="8">
        <f t="shared" si="2"/>
        <v>10000</v>
      </c>
      <c r="C38" s="7">
        <v>11700</v>
      </c>
      <c r="D38" s="6"/>
    </row>
    <row r="39" spans="1:4" x14ac:dyDescent="0.4">
      <c r="A39" s="6" t="s">
        <v>38</v>
      </c>
      <c r="B39" s="8">
        <f t="shared" si="2"/>
        <v>10881.196581196582</v>
      </c>
      <c r="C39" s="7">
        <v>12731</v>
      </c>
      <c r="D39" s="6"/>
    </row>
    <row r="40" spans="1:4" x14ac:dyDescent="0.4">
      <c r="A40" s="6" t="s">
        <v>39</v>
      </c>
      <c r="B40" s="8">
        <f t="shared" si="2"/>
        <v>30000.000000000004</v>
      </c>
      <c r="C40" s="7">
        <v>35100</v>
      </c>
      <c r="D40" s="6"/>
    </row>
    <row r="41" spans="1:4" x14ac:dyDescent="0.4">
      <c r="A41" s="6" t="s">
        <v>40</v>
      </c>
      <c r="B41" s="8">
        <f t="shared" si="2"/>
        <v>5000</v>
      </c>
      <c r="C41" s="7">
        <v>5850</v>
      </c>
      <c r="D41" s="6"/>
    </row>
    <row r="42" spans="1:4" x14ac:dyDescent="0.4">
      <c r="A42" s="6" t="s">
        <v>41</v>
      </c>
      <c r="B42" s="8">
        <f t="shared" si="2"/>
        <v>100000</v>
      </c>
      <c r="C42" s="7">
        <v>117000</v>
      </c>
      <c r="D42" s="6"/>
    </row>
    <row r="43" spans="1:4" x14ac:dyDescent="0.4">
      <c r="A43" s="6" t="s">
        <v>42</v>
      </c>
      <c r="B43" s="8">
        <f t="shared" si="2"/>
        <v>10000</v>
      </c>
      <c r="C43" s="7">
        <v>11700</v>
      </c>
      <c r="D43" s="6"/>
    </row>
    <row r="44" spans="1:4" x14ac:dyDescent="0.4">
      <c r="A44" s="6" t="s">
        <v>43</v>
      </c>
      <c r="B44" s="8">
        <f t="shared" si="2"/>
        <v>7250.4273504273506</v>
      </c>
      <c r="C44" s="7">
        <v>8483</v>
      </c>
      <c r="D44" s="6"/>
    </row>
    <row r="45" spans="1:4" x14ac:dyDescent="0.4">
      <c r="A45" s="6" t="s">
        <v>101</v>
      </c>
      <c r="B45" s="8">
        <f t="shared" si="2"/>
        <v>14000</v>
      </c>
      <c r="C45" s="7">
        <v>16380</v>
      </c>
      <c r="D45" s="6"/>
    </row>
    <row r="46" spans="1:4" x14ac:dyDescent="0.4">
      <c r="A46" s="6" t="s">
        <v>49</v>
      </c>
      <c r="B46" s="8">
        <f t="shared" si="2"/>
        <v>0</v>
      </c>
      <c r="C46" s="7">
        <v>0</v>
      </c>
      <c r="D46" s="6"/>
    </row>
    <row r="47" spans="1:4" x14ac:dyDescent="0.4">
      <c r="A47" s="2" t="s">
        <v>44</v>
      </c>
      <c r="B47" s="9">
        <f>SUM(B31:B46)</f>
        <v>473292.30769230769</v>
      </c>
      <c r="C47" s="9">
        <f>SUM(C31:C46)</f>
        <v>553752</v>
      </c>
      <c r="D47" s="6"/>
    </row>
    <row r="48" spans="1:4" x14ac:dyDescent="0.4">
      <c r="A48" s="79" t="s">
        <v>107</v>
      </c>
      <c r="B48" s="82">
        <f>B47/נתונים!B27</f>
        <v>166391.82692307691</v>
      </c>
      <c r="C48" s="82">
        <f>C47/נתונים!B27</f>
        <v>194678.4375</v>
      </c>
      <c r="D48" s="83"/>
    </row>
    <row r="49" spans="1:6" x14ac:dyDescent="0.4">
      <c r="A49" s="5"/>
      <c r="B49" s="5"/>
      <c r="C49" s="10"/>
      <c r="D49" s="11"/>
    </row>
    <row r="50" spans="1:6" x14ac:dyDescent="0.4">
      <c r="A50" s="2" t="s">
        <v>45</v>
      </c>
      <c r="B50" s="2" t="s">
        <v>93</v>
      </c>
      <c r="C50" s="2" t="s">
        <v>5</v>
      </c>
      <c r="D50" s="4"/>
    </row>
    <row r="51" spans="1:6" x14ac:dyDescent="0.4">
      <c r="A51" s="6" t="s">
        <v>46</v>
      </c>
      <c r="B51" s="8">
        <f>D51*טבלה1[[#Totals],[שווי שוק כולל מע"מ]]</f>
        <v>126090</v>
      </c>
      <c r="C51" s="8">
        <f>B51*$I$2</f>
        <v>147525.29999999999</v>
      </c>
      <c r="D51" s="67">
        <v>0.01</v>
      </c>
      <c r="E51" s="15"/>
      <c r="F51" s="15"/>
    </row>
    <row r="52" spans="1:6" x14ac:dyDescent="0.4">
      <c r="A52" s="6" t="s">
        <v>127</v>
      </c>
      <c r="B52" s="7">
        <f>C52/$I$2</f>
        <v>30000.000000000004</v>
      </c>
      <c r="C52" s="7">
        <v>35100</v>
      </c>
      <c r="D52" s="4"/>
    </row>
    <row r="53" spans="1:6" x14ac:dyDescent="0.4">
      <c r="A53" s="2" t="s">
        <v>48</v>
      </c>
      <c r="B53" s="9">
        <f>B52+B51</f>
        <v>156090</v>
      </c>
      <c r="C53" s="9">
        <f>C52+C51</f>
        <v>182625.3</v>
      </c>
      <c r="D53" s="25"/>
    </row>
    <row r="54" spans="1:6" x14ac:dyDescent="0.4">
      <c r="A54" s="79" t="s">
        <v>107</v>
      </c>
      <c r="B54" s="82">
        <f>B53/נתונים!B27</f>
        <v>54875.390625</v>
      </c>
      <c r="C54" s="82">
        <f>C53/נתונים!B27</f>
        <v>64204.207031249993</v>
      </c>
      <c r="D54" s="83"/>
    </row>
    <row r="56" spans="1:6" x14ac:dyDescent="0.4">
      <c r="A56" s="20" t="s">
        <v>50</v>
      </c>
      <c r="B56" s="2" t="s">
        <v>93</v>
      </c>
      <c r="C56" s="21" t="s">
        <v>5</v>
      </c>
      <c r="D56" s="22" t="s">
        <v>52</v>
      </c>
    </row>
    <row r="57" spans="1:6" x14ac:dyDescent="0.4">
      <c r="A57" s="6" t="s">
        <v>26</v>
      </c>
      <c r="B57" s="8">
        <f>D57*נתונים!B27</f>
        <v>12800</v>
      </c>
      <c r="C57" s="8">
        <f>B57*$I$2</f>
        <v>14976</v>
      </c>
      <c r="D57" s="65">
        <v>4500</v>
      </c>
    </row>
    <row r="58" spans="1:6" x14ac:dyDescent="0.4">
      <c r="A58" s="6" t="s">
        <v>51</v>
      </c>
      <c r="B58" s="8">
        <f>D58*נתונים!B27</f>
        <v>4266.666666666667</v>
      </c>
      <c r="C58" s="8">
        <f>B58*$I$2</f>
        <v>4992</v>
      </c>
      <c r="D58" s="65">
        <v>1500</v>
      </c>
    </row>
    <row r="59" spans="1:6" x14ac:dyDescent="0.4">
      <c r="A59" s="6" t="s">
        <v>106</v>
      </c>
      <c r="B59" s="8">
        <f>D59*נתונים!B27</f>
        <v>9955.5555555555566</v>
      </c>
      <c r="C59" s="8">
        <f>B59*$I$2</f>
        <v>11648</v>
      </c>
      <c r="D59" s="65">
        <v>3500</v>
      </c>
    </row>
    <row r="60" spans="1:6" x14ac:dyDescent="0.4">
      <c r="A60" s="2" t="s">
        <v>53</v>
      </c>
      <c r="B60" s="9">
        <f>SUM(B57:B59)</f>
        <v>27022.222222222226</v>
      </c>
      <c r="C60" s="9">
        <f>SUM(C57:C59)</f>
        <v>31616</v>
      </c>
      <c r="D60" s="24"/>
    </row>
    <row r="61" spans="1:6" x14ac:dyDescent="0.4">
      <c r="A61" s="79" t="s">
        <v>107</v>
      </c>
      <c r="B61" s="82">
        <f>B60/נתונים!B27</f>
        <v>9500.0000000000018</v>
      </c>
      <c r="C61" s="82">
        <f>C60/נתונים!B27</f>
        <v>11115</v>
      </c>
      <c r="D61" s="83"/>
    </row>
    <row r="63" spans="1:6" x14ac:dyDescent="0.4">
      <c r="A63" s="20" t="s">
        <v>54</v>
      </c>
      <c r="B63" s="2" t="s">
        <v>93</v>
      </c>
      <c r="C63" s="2" t="s">
        <v>97</v>
      </c>
      <c r="D63" s="23" t="s">
        <v>103</v>
      </c>
      <c r="E63" s="25" t="s">
        <v>105</v>
      </c>
      <c r="F63" s="25" t="s">
        <v>104</v>
      </c>
    </row>
    <row r="64" spans="1:6" x14ac:dyDescent="0.4">
      <c r="A64" s="6" t="s">
        <v>55</v>
      </c>
      <c r="B64" s="8">
        <f>C64/$I$2</f>
        <v>256410.25641025644</v>
      </c>
      <c r="C64" s="8">
        <f>D64*E64*F64</f>
        <v>300000</v>
      </c>
      <c r="D64" s="7">
        <v>3000000</v>
      </c>
      <c r="E64" s="66">
        <v>0.05</v>
      </c>
      <c r="F64" s="60">
        <v>2</v>
      </c>
    </row>
    <row r="65" spans="1:6" x14ac:dyDescent="0.4">
      <c r="A65" s="20" t="s">
        <v>27</v>
      </c>
      <c r="B65" s="9">
        <f>SUM(B64)</f>
        <v>256410.25641025644</v>
      </c>
      <c r="C65" s="9">
        <f>SUM(C64)</f>
        <v>300000</v>
      </c>
      <c r="D65" s="9">
        <f>D64</f>
        <v>3000000</v>
      </c>
      <c r="E65" s="22"/>
      <c r="F65" s="22"/>
    </row>
    <row r="66" spans="1:6" x14ac:dyDescent="0.4">
      <c r="A66" s="79" t="s">
        <v>107</v>
      </c>
      <c r="B66" s="82">
        <f>B65/נתונים!B27</f>
        <v>90144.23076923078</v>
      </c>
      <c r="C66" s="82">
        <f>C65/נתונים!B27</f>
        <v>105468.75</v>
      </c>
      <c r="D66" s="83"/>
      <c r="E66" s="78"/>
      <c r="F66" s="78"/>
    </row>
    <row r="67" spans="1:6" s="17" customFormat="1" x14ac:dyDescent="0.4">
      <c r="A67" s="89"/>
      <c r="B67" s="90"/>
      <c r="C67" s="90"/>
      <c r="D67" s="5"/>
      <c r="E67" s="91"/>
      <c r="F67" s="91"/>
    </row>
    <row r="68" spans="1:6" s="17" customFormat="1" x14ac:dyDescent="0.4">
      <c r="A68" s="20" t="s">
        <v>119</v>
      </c>
      <c r="B68" s="3" t="s">
        <v>93</v>
      </c>
      <c r="C68" s="3" t="s">
        <v>97</v>
      </c>
      <c r="D68" s="3" t="s">
        <v>121</v>
      </c>
      <c r="E68" s="91"/>
      <c r="F68" s="91"/>
    </row>
    <row r="69" spans="1:6" s="17" customFormat="1" x14ac:dyDescent="0.4">
      <c r="A69" s="6" t="s">
        <v>116</v>
      </c>
      <c r="B69" s="8">
        <f>B71/נתונים!B27</f>
        <v>3043591.9050480765</v>
      </c>
      <c r="C69" s="8">
        <f>C71/נתונים!B27</f>
        <v>3561002.5289062494</v>
      </c>
      <c r="D69" s="16"/>
      <c r="E69" s="91"/>
      <c r="F69" s="91"/>
    </row>
    <row r="70" spans="1:6" s="17" customFormat="1" x14ac:dyDescent="0.4">
      <c r="A70" s="6" t="s">
        <v>120</v>
      </c>
      <c r="B70" s="8">
        <f>B65+B60+B53+B47+B27+B21</f>
        <v>5961832.786324786</v>
      </c>
      <c r="C70" s="8">
        <f>C65+C60+C53+C47+C27+C21</f>
        <v>6975344.3600000003</v>
      </c>
      <c r="D70" s="8">
        <f>B70/נתונים!B29</f>
        <v>9999.7195342582781</v>
      </c>
      <c r="E70" s="91"/>
      <c r="F70" s="91"/>
    </row>
    <row r="71" spans="1:6" x14ac:dyDescent="0.4">
      <c r="A71" s="79" t="s">
        <v>56</v>
      </c>
      <c r="B71" s="82">
        <f>B65+B60+B53+B47+B21+B10+B27</f>
        <v>8657328.0854700841</v>
      </c>
      <c r="C71" s="82">
        <f>C65+C60+C53+C47+C21+C10+C27</f>
        <v>10129073.859999999</v>
      </c>
      <c r="D71" s="82">
        <f>B71/נתונים!B29</f>
        <v>14520.845497266158</v>
      </c>
    </row>
  </sheetData>
  <mergeCells count="2">
    <mergeCell ref="A1:D1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workbookViewId="0">
      <selection activeCell="C7" sqref="C7"/>
    </sheetView>
  </sheetViews>
  <sheetFormatPr defaultColWidth="9.140625" defaultRowHeight="18" x14ac:dyDescent="0.4"/>
  <cols>
    <col min="1" max="1" width="34.28515625" style="1" bestFit="1" customWidth="1"/>
    <col min="2" max="2" width="15.85546875" style="19" bestFit="1" customWidth="1"/>
    <col min="3" max="3" width="23.7109375" style="1" customWidth="1"/>
    <col min="4" max="4" width="20.140625" style="1" customWidth="1"/>
    <col min="5" max="5" width="20.85546875" style="1" customWidth="1"/>
    <col min="6" max="6" width="23.140625" style="1" customWidth="1"/>
    <col min="7" max="7" width="17.5703125" style="1" customWidth="1"/>
    <col min="8" max="8" width="12.5703125" style="1" customWidth="1"/>
    <col min="9" max="9" width="22.85546875" style="19" customWidth="1"/>
    <col min="10" max="10" width="21" style="1" bestFit="1" customWidth="1"/>
    <col min="11" max="11" width="21" style="1" customWidth="1"/>
    <col min="12" max="16384" width="9.140625" style="1"/>
  </cols>
  <sheetData>
    <row r="1" spans="1:11" ht="15" customHeight="1" x14ac:dyDescent="0.4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30" customHeight="1" x14ac:dyDescent="0.4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4">
      <c r="A3" s="92" t="s">
        <v>59</v>
      </c>
      <c r="B3" s="93"/>
      <c r="C3" s="17"/>
      <c r="D3" s="17"/>
      <c r="E3" s="17"/>
      <c r="F3" s="17"/>
      <c r="G3" s="17"/>
      <c r="H3" s="17"/>
    </row>
    <row r="4" spans="1:11" ht="19.5" x14ac:dyDescent="0.45">
      <c r="A4" s="14" t="s">
        <v>66</v>
      </c>
      <c r="B4" s="59">
        <v>30000</v>
      </c>
      <c r="C4" s="17"/>
      <c r="D4" s="17"/>
      <c r="E4" s="17"/>
      <c r="F4" s="17"/>
      <c r="G4" s="17"/>
      <c r="H4" s="17"/>
    </row>
    <row r="5" spans="1:11" x14ac:dyDescent="0.4">
      <c r="A5" s="14" t="s">
        <v>60</v>
      </c>
      <c r="B5" s="60">
        <v>0.5</v>
      </c>
      <c r="C5" s="17"/>
      <c r="D5" s="17"/>
      <c r="E5" s="17"/>
      <c r="F5" s="17"/>
      <c r="G5" s="17"/>
      <c r="H5" s="17"/>
    </row>
    <row r="6" spans="1:11" x14ac:dyDescent="0.4">
      <c r="A6" s="14" t="s">
        <v>62</v>
      </c>
      <c r="B6" s="60">
        <v>0.6</v>
      </c>
      <c r="C6" s="17"/>
      <c r="D6" s="17"/>
      <c r="E6" s="17"/>
      <c r="F6" s="17"/>
      <c r="G6" s="17"/>
      <c r="H6" s="17"/>
    </row>
    <row r="7" spans="1:11" x14ac:dyDescent="0.4">
      <c r="A7" s="14" t="s">
        <v>61</v>
      </c>
      <c r="B7" s="60">
        <v>0.4</v>
      </c>
      <c r="C7" s="17"/>
      <c r="D7" s="17"/>
      <c r="E7" s="17"/>
      <c r="F7" s="17"/>
      <c r="G7" s="17"/>
      <c r="H7" s="17"/>
    </row>
    <row r="8" spans="1:11" x14ac:dyDescent="0.4">
      <c r="A8" s="14" t="s">
        <v>63</v>
      </c>
      <c r="B8" s="60">
        <v>0.3</v>
      </c>
      <c r="C8" s="17"/>
      <c r="D8" s="17"/>
      <c r="E8" s="17"/>
      <c r="F8" s="17"/>
      <c r="G8" s="17"/>
      <c r="H8" s="17"/>
    </row>
    <row r="9" spans="1:11" x14ac:dyDescent="0.4">
      <c r="A9" s="14" t="s">
        <v>64</v>
      </c>
      <c r="B9" s="60">
        <v>1</v>
      </c>
      <c r="C9" s="17"/>
      <c r="D9" s="17"/>
      <c r="E9" s="17"/>
      <c r="F9" s="17"/>
      <c r="G9" s="17"/>
      <c r="H9" s="17"/>
    </row>
    <row r="10" spans="1:11" x14ac:dyDescent="0.4">
      <c r="A10" s="26"/>
      <c r="B10" s="27"/>
      <c r="C10" s="5"/>
      <c r="D10" s="5"/>
      <c r="E10" s="5"/>
      <c r="F10" s="5"/>
      <c r="G10" s="5"/>
      <c r="H10" s="5"/>
      <c r="I10" s="28"/>
    </row>
    <row r="11" spans="1:11" s="87" customFormat="1" ht="39" x14ac:dyDescent="0.25">
      <c r="A11" s="84" t="s">
        <v>17</v>
      </c>
      <c r="B11" s="85" t="s">
        <v>10</v>
      </c>
      <c r="C11" s="85" t="s">
        <v>18</v>
      </c>
      <c r="D11" s="85" t="s">
        <v>8</v>
      </c>
      <c r="E11" s="85" t="s">
        <v>57</v>
      </c>
      <c r="F11" s="85" t="s">
        <v>58</v>
      </c>
      <c r="G11" s="85" t="s">
        <v>65</v>
      </c>
      <c r="H11" s="85" t="s">
        <v>61</v>
      </c>
      <c r="I11" s="85" t="s">
        <v>68</v>
      </c>
      <c r="J11" s="85" t="s">
        <v>67</v>
      </c>
      <c r="K11" s="86" t="s">
        <v>69</v>
      </c>
    </row>
    <row r="12" spans="1:11" ht="19.5" x14ac:dyDescent="0.45">
      <c r="A12" s="88">
        <v>1</v>
      </c>
      <c r="B12" s="51" t="s">
        <v>108</v>
      </c>
      <c r="C12" s="52" t="s">
        <v>109</v>
      </c>
      <c r="D12" s="53">
        <v>75</v>
      </c>
      <c r="E12" s="53">
        <v>40</v>
      </c>
      <c r="F12" s="53"/>
      <c r="G12" s="53">
        <v>70</v>
      </c>
      <c r="H12" s="53"/>
      <c r="I12" s="54">
        <f>(D12*$B$9)+(E12*$B$8)+(F12*$B$5)+(G12*$B$6)+(H12*$B$7)</f>
        <v>129</v>
      </c>
      <c r="J12" s="8">
        <f>I12*$B$4</f>
        <v>3870000</v>
      </c>
      <c r="K12" s="55">
        <f>טבלה1[[#This Row],[שווי שוק כולל מע"מ]]/1.17</f>
        <v>3307692.307692308</v>
      </c>
    </row>
    <row r="13" spans="1:11" ht="19.5" x14ac:dyDescent="0.45">
      <c r="A13" s="88">
        <v>2</v>
      </c>
      <c r="B13" s="51" t="s">
        <v>110</v>
      </c>
      <c r="C13" s="52" t="s">
        <v>111</v>
      </c>
      <c r="D13" s="53">
        <v>97</v>
      </c>
      <c r="E13" s="53"/>
      <c r="F13" s="53">
        <v>8</v>
      </c>
      <c r="G13" s="53"/>
      <c r="H13" s="53">
        <v>12</v>
      </c>
      <c r="I13" s="54">
        <f t="shared" ref="I13:I29" si="0">(D13*$B$9)+(E13*$B$8)+(F13*$B$5)+(G13*$B$6)+(H13*$B$7)</f>
        <v>105.8</v>
      </c>
      <c r="J13" s="8">
        <f t="shared" ref="J13:J29" si="1">I13*$B$4</f>
        <v>3174000</v>
      </c>
      <c r="K13" s="55">
        <f>טבלה1[[#This Row],[שווי שוק כולל מע"מ]]/1.17</f>
        <v>2712820.512820513</v>
      </c>
    </row>
    <row r="14" spans="1:11" ht="19.5" x14ac:dyDescent="0.45">
      <c r="A14" s="88">
        <v>3</v>
      </c>
      <c r="B14" s="51" t="s">
        <v>112</v>
      </c>
      <c r="C14" s="52" t="s">
        <v>113</v>
      </c>
      <c r="D14" s="53">
        <f>97+68</f>
        <v>165</v>
      </c>
      <c r="E14" s="53"/>
      <c r="F14" s="53">
        <f>8+33</f>
        <v>41</v>
      </c>
      <c r="G14" s="53"/>
      <c r="H14" s="53"/>
      <c r="I14" s="54">
        <f t="shared" si="0"/>
        <v>185.5</v>
      </c>
      <c r="J14" s="8">
        <f t="shared" si="1"/>
        <v>5565000</v>
      </c>
      <c r="K14" s="55">
        <f>טבלה1[[#This Row],[שווי שוק כולל מע"מ]]/1.17</f>
        <v>4756410.256410257</v>
      </c>
    </row>
    <row r="15" spans="1:11" ht="19.5" x14ac:dyDescent="0.45">
      <c r="A15" s="88"/>
      <c r="B15" s="51"/>
      <c r="C15" s="52"/>
      <c r="D15" s="53"/>
      <c r="E15" s="53"/>
      <c r="F15" s="53"/>
      <c r="G15" s="53"/>
      <c r="H15" s="53"/>
      <c r="I15" s="54">
        <f t="shared" si="0"/>
        <v>0</v>
      </c>
      <c r="J15" s="8">
        <f t="shared" si="1"/>
        <v>0</v>
      </c>
      <c r="K15" s="55">
        <f>טבלה1[[#This Row],[שווי שוק כולל מע"מ]]/1.17</f>
        <v>0</v>
      </c>
    </row>
    <row r="16" spans="1:11" ht="19.5" x14ac:dyDescent="0.45">
      <c r="A16" s="88"/>
      <c r="B16" s="51"/>
      <c r="C16" s="52"/>
      <c r="D16" s="53"/>
      <c r="E16" s="53"/>
      <c r="F16" s="53"/>
      <c r="G16" s="53"/>
      <c r="H16" s="53"/>
      <c r="I16" s="54">
        <f t="shared" si="0"/>
        <v>0</v>
      </c>
      <c r="J16" s="8">
        <f t="shared" si="1"/>
        <v>0</v>
      </c>
      <c r="K16" s="55">
        <f>טבלה1[[#This Row],[שווי שוק כולל מע"מ]]/1.17</f>
        <v>0</v>
      </c>
    </row>
    <row r="17" spans="1:11" ht="19.5" x14ac:dyDescent="0.45">
      <c r="A17" s="88"/>
      <c r="B17" s="51"/>
      <c r="C17" s="52"/>
      <c r="D17" s="53"/>
      <c r="E17" s="53"/>
      <c r="F17" s="53"/>
      <c r="G17" s="53"/>
      <c r="H17" s="53"/>
      <c r="I17" s="54">
        <f t="shared" si="0"/>
        <v>0</v>
      </c>
      <c r="J17" s="8">
        <f t="shared" si="1"/>
        <v>0</v>
      </c>
      <c r="K17" s="55">
        <f>טבלה1[[#This Row],[שווי שוק כולל מע"מ]]/1.17</f>
        <v>0</v>
      </c>
    </row>
    <row r="18" spans="1:11" ht="19.5" x14ac:dyDescent="0.45">
      <c r="A18" s="88"/>
      <c r="B18" s="51"/>
      <c r="C18" s="52"/>
      <c r="D18" s="53"/>
      <c r="E18" s="53"/>
      <c r="F18" s="53"/>
      <c r="G18" s="53"/>
      <c r="H18" s="53"/>
      <c r="I18" s="54">
        <f t="shared" si="0"/>
        <v>0</v>
      </c>
      <c r="J18" s="8">
        <f t="shared" si="1"/>
        <v>0</v>
      </c>
      <c r="K18" s="55">
        <f>טבלה1[[#This Row],[שווי שוק כולל מע"מ]]/1.17</f>
        <v>0</v>
      </c>
    </row>
    <row r="19" spans="1:11" ht="19.5" x14ac:dyDescent="0.45">
      <c r="A19" s="88"/>
      <c r="B19" s="51"/>
      <c r="C19" s="52"/>
      <c r="D19" s="53"/>
      <c r="E19" s="53"/>
      <c r="F19" s="53"/>
      <c r="G19" s="53"/>
      <c r="H19" s="53"/>
      <c r="I19" s="54">
        <f t="shared" si="0"/>
        <v>0</v>
      </c>
      <c r="J19" s="8">
        <f t="shared" si="1"/>
        <v>0</v>
      </c>
      <c r="K19" s="55">
        <f>טבלה1[[#This Row],[שווי שוק כולל מע"מ]]/1.17</f>
        <v>0</v>
      </c>
    </row>
    <row r="20" spans="1:11" ht="19.5" x14ac:dyDescent="0.45">
      <c r="A20" s="88"/>
      <c r="B20" s="51"/>
      <c r="C20" s="52"/>
      <c r="D20" s="53"/>
      <c r="E20" s="53"/>
      <c r="F20" s="53"/>
      <c r="G20" s="53"/>
      <c r="H20" s="53"/>
      <c r="I20" s="54">
        <f t="shared" si="0"/>
        <v>0</v>
      </c>
      <c r="J20" s="8">
        <f t="shared" si="1"/>
        <v>0</v>
      </c>
      <c r="K20" s="55">
        <f>טבלה1[[#This Row],[שווי שוק כולל מע"מ]]/1.17</f>
        <v>0</v>
      </c>
    </row>
    <row r="21" spans="1:11" ht="19.5" x14ac:dyDescent="0.45">
      <c r="A21" s="88"/>
      <c r="B21" s="51"/>
      <c r="C21" s="52"/>
      <c r="D21" s="53"/>
      <c r="E21" s="53"/>
      <c r="F21" s="53"/>
      <c r="G21" s="53"/>
      <c r="H21" s="53"/>
      <c r="I21" s="54">
        <f t="shared" si="0"/>
        <v>0</v>
      </c>
      <c r="J21" s="8">
        <f t="shared" si="1"/>
        <v>0</v>
      </c>
      <c r="K21" s="55">
        <f>טבלה1[[#This Row],[שווי שוק כולל מע"מ]]/1.17</f>
        <v>0</v>
      </c>
    </row>
    <row r="22" spans="1:11" ht="19.5" x14ac:dyDescent="0.45">
      <c r="A22" s="88"/>
      <c r="B22" s="51"/>
      <c r="C22" s="52"/>
      <c r="D22" s="53"/>
      <c r="E22" s="53"/>
      <c r="F22" s="53"/>
      <c r="G22" s="53"/>
      <c r="H22" s="53"/>
      <c r="I22" s="54">
        <f t="shared" si="0"/>
        <v>0</v>
      </c>
      <c r="J22" s="8">
        <f t="shared" si="1"/>
        <v>0</v>
      </c>
      <c r="K22" s="55">
        <f>טבלה1[[#This Row],[שווי שוק כולל מע"מ]]/1.17</f>
        <v>0</v>
      </c>
    </row>
    <row r="23" spans="1:11" ht="19.5" x14ac:dyDescent="0.45">
      <c r="A23" s="88"/>
      <c r="B23" s="51"/>
      <c r="C23" s="52"/>
      <c r="D23" s="53"/>
      <c r="E23" s="53"/>
      <c r="F23" s="53"/>
      <c r="G23" s="53"/>
      <c r="H23" s="53"/>
      <c r="I23" s="54">
        <f t="shared" si="0"/>
        <v>0</v>
      </c>
      <c r="J23" s="8">
        <f t="shared" si="1"/>
        <v>0</v>
      </c>
      <c r="K23" s="55">
        <f>טבלה1[[#This Row],[שווי שוק כולל מע"מ]]/1.17</f>
        <v>0</v>
      </c>
    </row>
    <row r="24" spans="1:11" ht="19.5" x14ac:dyDescent="0.45">
      <c r="A24" s="88"/>
      <c r="B24" s="51"/>
      <c r="C24" s="52"/>
      <c r="D24" s="53"/>
      <c r="E24" s="53"/>
      <c r="F24" s="53"/>
      <c r="G24" s="53"/>
      <c r="H24" s="53"/>
      <c r="I24" s="54">
        <f t="shared" si="0"/>
        <v>0</v>
      </c>
      <c r="J24" s="8">
        <f t="shared" si="1"/>
        <v>0</v>
      </c>
      <c r="K24" s="55">
        <f>טבלה1[[#This Row],[שווי שוק כולל מע"מ]]/1.17</f>
        <v>0</v>
      </c>
    </row>
    <row r="25" spans="1:11" ht="19.5" x14ac:dyDescent="0.45">
      <c r="A25" s="88"/>
      <c r="B25" s="51"/>
      <c r="C25" s="52"/>
      <c r="D25" s="53"/>
      <c r="E25" s="53"/>
      <c r="F25" s="53"/>
      <c r="G25" s="53"/>
      <c r="H25" s="53"/>
      <c r="I25" s="54">
        <f t="shared" si="0"/>
        <v>0</v>
      </c>
      <c r="J25" s="8">
        <f t="shared" si="1"/>
        <v>0</v>
      </c>
      <c r="K25" s="55">
        <f>טבלה1[[#This Row],[שווי שוק כולל מע"מ]]/1.17</f>
        <v>0</v>
      </c>
    </row>
    <row r="26" spans="1:11" ht="19.5" x14ac:dyDescent="0.45">
      <c r="A26" s="88"/>
      <c r="B26" s="51"/>
      <c r="C26" s="52"/>
      <c r="D26" s="53"/>
      <c r="E26" s="53"/>
      <c r="F26" s="53"/>
      <c r="G26" s="53"/>
      <c r="H26" s="53"/>
      <c r="I26" s="54">
        <f t="shared" si="0"/>
        <v>0</v>
      </c>
      <c r="J26" s="8">
        <f t="shared" si="1"/>
        <v>0</v>
      </c>
      <c r="K26" s="55">
        <f>טבלה1[[#This Row],[שווי שוק כולל מע"מ]]/1.17</f>
        <v>0</v>
      </c>
    </row>
    <row r="27" spans="1:11" ht="19.5" x14ac:dyDescent="0.45">
      <c r="A27" s="88"/>
      <c r="B27" s="51"/>
      <c r="C27" s="52"/>
      <c r="D27" s="53"/>
      <c r="E27" s="53"/>
      <c r="F27" s="53"/>
      <c r="G27" s="53"/>
      <c r="H27" s="53"/>
      <c r="I27" s="54">
        <f t="shared" si="0"/>
        <v>0</v>
      </c>
      <c r="J27" s="8">
        <f t="shared" si="1"/>
        <v>0</v>
      </c>
      <c r="K27" s="55">
        <f>טבלה1[[#This Row],[שווי שוק כולל מע"מ]]/1.17</f>
        <v>0</v>
      </c>
    </row>
    <row r="28" spans="1:11" ht="19.5" x14ac:dyDescent="0.45">
      <c r="A28" s="88"/>
      <c r="B28" s="51"/>
      <c r="C28" s="52"/>
      <c r="D28" s="53"/>
      <c r="E28" s="53"/>
      <c r="F28" s="53"/>
      <c r="G28" s="53"/>
      <c r="H28" s="53"/>
      <c r="I28" s="54">
        <f t="shared" si="0"/>
        <v>0</v>
      </c>
      <c r="J28" s="8">
        <f t="shared" si="1"/>
        <v>0</v>
      </c>
      <c r="K28" s="55">
        <f>טבלה1[[#This Row],[שווי שוק כולל מע"מ]]/1.17</f>
        <v>0</v>
      </c>
    </row>
    <row r="29" spans="1:11" ht="19.5" x14ac:dyDescent="0.45">
      <c r="A29" s="88"/>
      <c r="B29" s="51"/>
      <c r="C29" s="52"/>
      <c r="D29" s="53"/>
      <c r="E29" s="53"/>
      <c r="F29" s="53"/>
      <c r="G29" s="53"/>
      <c r="H29" s="53"/>
      <c r="I29" s="54">
        <f t="shared" si="0"/>
        <v>0</v>
      </c>
      <c r="J29" s="8">
        <f t="shared" si="1"/>
        <v>0</v>
      </c>
      <c r="K29" s="55">
        <f>טבלה1[[#This Row],[שווי שוק כולל מע"מ]]/1.17</f>
        <v>0</v>
      </c>
    </row>
    <row r="30" spans="1:11" x14ac:dyDescent="0.4">
      <c r="A30" s="56" t="s">
        <v>27</v>
      </c>
      <c r="B30" s="57"/>
      <c r="C30" s="57"/>
      <c r="D30" s="57"/>
      <c r="E30" s="57"/>
      <c r="F30" s="57"/>
      <c r="G30" s="57"/>
      <c r="H30" s="57"/>
      <c r="I30" s="57">
        <f>SUBTOTAL(109,טבלה1[מ"ר אקוויולנטי])</f>
        <v>420.3</v>
      </c>
      <c r="J30" s="57">
        <f>SUBTOTAL(109,טבלה1[שווי שוק כולל מע"מ])</f>
        <v>12609000</v>
      </c>
      <c r="K30" s="58">
        <f>SUBTOTAL(109,טבלה1[שווי שוק לפני מע"מ])</f>
        <v>10776923.076923078</v>
      </c>
    </row>
  </sheetData>
  <mergeCells count="1">
    <mergeCell ref="A1:K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rightToLeft="1" zoomScaleNormal="100" workbookViewId="0">
      <selection activeCell="B9" sqref="B9"/>
    </sheetView>
  </sheetViews>
  <sheetFormatPr defaultColWidth="9" defaultRowHeight="15.75" x14ac:dyDescent="0.35"/>
  <cols>
    <col min="1" max="1" width="9" style="29"/>
    <col min="2" max="2" width="22.5703125" style="29" bestFit="1" customWidth="1"/>
    <col min="3" max="3" width="6.7109375" style="29" bestFit="1" customWidth="1"/>
    <col min="4" max="4" width="14" style="29" bestFit="1" customWidth="1"/>
    <col min="5" max="8" width="9.85546875" style="29" bestFit="1" customWidth="1"/>
    <col min="9" max="9" width="8.42578125" style="29" bestFit="1" customWidth="1"/>
    <col min="10" max="16384" width="9" style="29"/>
  </cols>
  <sheetData>
    <row r="1" spans="2:8" ht="48" customHeight="1" x14ac:dyDescent="0.35">
      <c r="B1" s="101" t="s">
        <v>16</v>
      </c>
      <c r="C1" s="101"/>
      <c r="D1" s="101"/>
      <c r="E1" s="101"/>
      <c r="F1" s="101"/>
      <c r="G1" s="101"/>
      <c r="H1" s="101"/>
    </row>
    <row r="2" spans="2:8" ht="18" x14ac:dyDescent="0.4">
      <c r="B2" s="30" t="s">
        <v>23</v>
      </c>
      <c r="C2" s="31"/>
      <c r="D2" s="31"/>
      <c r="E2" s="31"/>
      <c r="F2" s="31"/>
      <c r="G2" s="31"/>
      <c r="H2" s="31"/>
    </row>
    <row r="3" spans="2:8" x14ac:dyDescent="0.35">
      <c r="B3" s="32"/>
      <c r="C3" s="32"/>
      <c r="D3" s="32"/>
      <c r="E3" s="32"/>
      <c r="F3" s="32"/>
      <c r="G3" s="32"/>
      <c r="H3" s="32"/>
    </row>
    <row r="4" spans="2:8" ht="18" x14ac:dyDescent="0.4">
      <c r="B4" s="48" t="s">
        <v>130</v>
      </c>
      <c r="C4" s="48"/>
      <c r="D4" s="49">
        <f>עלויות!C71</f>
        <v>10129073.859999999</v>
      </c>
      <c r="E4" s="33"/>
      <c r="F4" s="33"/>
      <c r="G4" s="33"/>
      <c r="H4" s="33"/>
    </row>
    <row r="5" spans="2:8" ht="18" x14ac:dyDescent="0.4">
      <c r="B5" s="48" t="s">
        <v>131</v>
      </c>
      <c r="C5" s="48"/>
      <c r="D5" s="49">
        <f>טבלה1[[#Totals],[שווי שוק כולל מע"מ]]</f>
        <v>12609000</v>
      </c>
      <c r="E5" s="33"/>
      <c r="F5" s="33"/>
      <c r="G5" s="33"/>
      <c r="H5" s="33"/>
    </row>
    <row r="6" spans="2:8" ht="18" x14ac:dyDescent="0.4">
      <c r="B6" s="48" t="s">
        <v>70</v>
      </c>
      <c r="C6" s="48"/>
      <c r="D6" s="50">
        <f>D9/D4</f>
        <v>0.24483246684509818</v>
      </c>
      <c r="E6" s="33"/>
      <c r="F6" s="33"/>
      <c r="G6" s="33"/>
      <c r="H6" s="33"/>
    </row>
    <row r="7" spans="2:8" ht="18" x14ac:dyDescent="0.4">
      <c r="B7" s="48" t="s">
        <v>71</v>
      </c>
      <c r="C7" s="48"/>
      <c r="D7" s="50">
        <f>D9/D5</f>
        <v>0.19667904988500282</v>
      </c>
      <c r="E7" s="33"/>
      <c r="F7" s="33"/>
      <c r="G7" s="33"/>
      <c r="H7" s="33"/>
    </row>
    <row r="8" spans="2:8" ht="18" x14ac:dyDescent="0.4">
      <c r="B8" s="33"/>
      <c r="C8" s="33"/>
      <c r="D8" s="34"/>
      <c r="E8" s="33"/>
      <c r="F8" s="33"/>
      <c r="G8" s="33"/>
      <c r="H8" s="33"/>
    </row>
    <row r="9" spans="2:8" ht="18" x14ac:dyDescent="0.4">
      <c r="B9" s="35" t="s">
        <v>22</v>
      </c>
      <c r="C9" s="35"/>
      <c r="D9" s="36">
        <f>D5-D4</f>
        <v>2479926.1400000006</v>
      </c>
      <c r="E9" s="35"/>
      <c r="F9" s="35" t="s">
        <v>21</v>
      </c>
      <c r="G9" s="37">
        <f>D9/D4</f>
        <v>0.24483246684509818</v>
      </c>
      <c r="H9" s="35" t="s">
        <v>20</v>
      </c>
    </row>
    <row r="10" spans="2:8" ht="18" x14ac:dyDescent="0.4">
      <c r="B10" s="38"/>
      <c r="C10" s="38"/>
      <c r="D10" s="38"/>
      <c r="E10" s="38"/>
      <c r="F10" s="38"/>
      <c r="G10" s="38"/>
      <c r="H10" s="38"/>
    </row>
    <row r="11" spans="2:8" ht="18" x14ac:dyDescent="0.4">
      <c r="B11" s="38"/>
      <c r="C11" s="38"/>
      <c r="D11" s="38"/>
      <c r="E11" s="38"/>
      <c r="F11" s="38"/>
      <c r="G11" s="38"/>
      <c r="H11" s="38"/>
    </row>
    <row r="12" spans="2:8" ht="18" x14ac:dyDescent="0.35">
      <c r="B12" s="107" t="s">
        <v>24</v>
      </c>
      <c r="C12" s="108"/>
      <c r="D12" s="104" t="s">
        <v>0</v>
      </c>
      <c r="E12" s="105"/>
      <c r="F12" s="105"/>
      <c r="G12" s="105"/>
      <c r="H12" s="106"/>
    </row>
    <row r="13" spans="2:8" x14ac:dyDescent="0.35">
      <c r="B13" s="109"/>
      <c r="C13" s="110"/>
      <c r="D13" s="102">
        <v>1.1000000000000001</v>
      </c>
      <c r="E13" s="102">
        <v>1.05</v>
      </c>
      <c r="F13" s="102">
        <v>1</v>
      </c>
      <c r="G13" s="102">
        <v>0.95</v>
      </c>
      <c r="H13" s="102">
        <v>0.9</v>
      </c>
    </row>
    <row r="14" spans="2:8" x14ac:dyDescent="0.35">
      <c r="B14" s="109"/>
      <c r="C14" s="110"/>
      <c r="D14" s="102"/>
      <c r="E14" s="102"/>
      <c r="F14" s="103"/>
      <c r="G14" s="102"/>
      <c r="H14" s="103"/>
    </row>
    <row r="15" spans="2:8" ht="18" x14ac:dyDescent="0.4">
      <c r="B15" s="104" t="s">
        <v>19</v>
      </c>
      <c r="C15" s="102">
        <v>1.1000000000000001</v>
      </c>
      <c r="D15" s="39">
        <f>($D$5*$C$15)-($D$4*$D$13)</f>
        <v>2727918.7540000025</v>
      </c>
      <c r="E15" s="40">
        <f>($D$5*$C$15)-($D$4*$E$13)</f>
        <v>3234372.4470000025</v>
      </c>
      <c r="F15" s="39">
        <f>($D$5*$C$15)-($D$4*$F$13)</f>
        <v>3740826.1400000025</v>
      </c>
      <c r="G15" s="40">
        <f>($D$5*$C$15)-($D$4*$G$13)</f>
        <v>4247279.8330000024</v>
      </c>
      <c r="H15" s="41">
        <f>($D$5*$C$15)-($D$4*$H$13)</f>
        <v>4753733.5260000024</v>
      </c>
    </row>
    <row r="16" spans="2:8" ht="18" x14ac:dyDescent="0.4">
      <c r="B16" s="104"/>
      <c r="C16" s="102"/>
      <c r="D16" s="42">
        <f>($D$5*$C$15)/($D$4*$D$13)-1</f>
        <v>0.2448324668450983</v>
      </c>
      <c r="E16" s="43">
        <f>($D$5*$C$15)/($D$4*$E$13)-1</f>
        <v>0.30411020336153172</v>
      </c>
      <c r="F16" s="42">
        <f>($D$5*$C$15)/($D$4*$F$13)-1</f>
        <v>0.36931571352960813</v>
      </c>
      <c r="G16" s="43">
        <f>($D$5*$C$15)/($D$4*$G$13)-1</f>
        <v>0.44138496161011398</v>
      </c>
      <c r="H16" s="44">
        <f>($D$5*$C$15)/($D$4*$H$13)-1</f>
        <v>0.52146190392178693</v>
      </c>
    </row>
    <row r="17" spans="2:8" ht="18" x14ac:dyDescent="0.4">
      <c r="B17" s="104"/>
      <c r="C17" s="102">
        <v>1.05</v>
      </c>
      <c r="D17" s="40">
        <f>($D$5*$C$17)-($D$4*$D$13)</f>
        <v>2097468.7540000007</v>
      </c>
      <c r="E17" s="39">
        <f>($D$5*$C$17)-($D$4*$E$13)</f>
        <v>2603922.4470000006</v>
      </c>
      <c r="F17" s="40">
        <f>($D$5*$C$17)-($D$4*$F$13)</f>
        <v>3110376.1400000006</v>
      </c>
      <c r="G17" s="41">
        <f>($D$5*$C$17)-($D$4*$G$13)</f>
        <v>3616829.8330000006</v>
      </c>
      <c r="H17" s="45">
        <f>($D$5*$C$17)-($D$4*$H$13)</f>
        <v>4123283.5260000005</v>
      </c>
    </row>
    <row r="18" spans="2:8" ht="18" x14ac:dyDescent="0.4">
      <c r="B18" s="104"/>
      <c r="C18" s="102"/>
      <c r="D18" s="43">
        <f>($D$5*$C$17)/($D$4*$D$13)-1</f>
        <v>0.18824917289759369</v>
      </c>
      <c r="E18" s="42">
        <f>($D$5*$C$17)/($D$4*$E$13)-1</f>
        <v>0.2448324668450983</v>
      </c>
      <c r="F18" s="43">
        <f>($D$5*$C$17)/($D$4*$F$13)-1</f>
        <v>0.30707409018735299</v>
      </c>
      <c r="G18" s="44">
        <f>($D$5*$C$17)/($D$4*$G$13)-1</f>
        <v>0.37586746335510846</v>
      </c>
      <c r="H18" s="46">
        <f>($D$5*$C$17)/($D$4*$H$13)-1</f>
        <v>0.4523045446526146</v>
      </c>
    </row>
    <row r="19" spans="2:8" ht="18" x14ac:dyDescent="0.4">
      <c r="B19" s="104"/>
      <c r="C19" s="111">
        <v>1</v>
      </c>
      <c r="D19" s="39">
        <f>($D$5*$C$19)-($D$4*$D$13)</f>
        <v>1467018.7540000007</v>
      </c>
      <c r="E19" s="40">
        <f>($D$5*$C$19)-($D$4*$E$13)</f>
        <v>1973472.4470000006</v>
      </c>
      <c r="F19" s="41">
        <f>($D$5*$C$19)-($D$4*$F$13)</f>
        <v>2479926.1400000006</v>
      </c>
      <c r="G19" s="40">
        <f>($D$5*$C$19)-($D$4*$G$13)</f>
        <v>2986379.8330000006</v>
      </c>
      <c r="H19" s="39">
        <f>($D$5*$C$19)-($D$4*$H$13)</f>
        <v>3492833.5260000005</v>
      </c>
    </row>
    <row r="20" spans="2:8" ht="18" x14ac:dyDescent="0.4">
      <c r="B20" s="104"/>
      <c r="C20" s="111"/>
      <c r="D20" s="42">
        <f>($D$5*$C$19)/($D$4*$D$13)-1</f>
        <v>0.1316658789500893</v>
      </c>
      <c r="E20" s="43">
        <f>($D$5*$C$19)/($D$4*$E$13)-1</f>
        <v>0.18555473032866487</v>
      </c>
      <c r="F20" s="44">
        <f>($D$5*$C$19)/($D$4*$F$13)-1</f>
        <v>0.2448324668450983</v>
      </c>
      <c r="G20" s="43">
        <f>($D$5*$C$19)/($D$4*$G$13)-1</f>
        <v>0.31034996510010338</v>
      </c>
      <c r="H20" s="42">
        <f>($D$5*$C$19)/($D$4*$H$13)-1</f>
        <v>0.3831471853834425</v>
      </c>
    </row>
    <row r="21" spans="2:8" ht="18" x14ac:dyDescent="0.4">
      <c r="B21" s="104"/>
      <c r="C21" s="102">
        <v>0.95</v>
      </c>
      <c r="D21" s="40">
        <f>($D$5*$C$21)-($D$4*$D$13)</f>
        <v>836568.75400000066</v>
      </c>
      <c r="E21" s="41">
        <f>($D$5*$C$21)-($D$4*$E$13)</f>
        <v>1343022.4470000006</v>
      </c>
      <c r="F21" s="40">
        <f>($D$5*$C$21)-($D$4*$F$13)</f>
        <v>1849476.1400000006</v>
      </c>
      <c r="G21" s="39">
        <f>($D$5*$C$21)-($D$4*$G$13)</f>
        <v>2355929.8330000006</v>
      </c>
      <c r="H21" s="45">
        <f>($D$5*$C$21)-($D$4*$H$13)</f>
        <v>2862383.5260000005</v>
      </c>
    </row>
    <row r="22" spans="2:8" ht="18" x14ac:dyDescent="0.4">
      <c r="B22" s="104"/>
      <c r="C22" s="102"/>
      <c r="D22" s="43">
        <f>($D$5*$C$21)/($D$4*$D$13)-1</f>
        <v>7.508258500258469E-2</v>
      </c>
      <c r="E22" s="44">
        <f>($D$5*$C$21)/($D$4*$E$13)-1</f>
        <v>0.12627699381223167</v>
      </c>
      <c r="F22" s="43">
        <f>($D$5*$C$21)/($D$4*$F$13)-1</f>
        <v>0.18259084350284338</v>
      </c>
      <c r="G22" s="42">
        <f>($D$5*$C$21)/($D$4*$G$13)-1</f>
        <v>0.2448324668450983</v>
      </c>
      <c r="H22" s="46">
        <f>($D$5*$C$21)/($D$4*$H$13)-1</f>
        <v>0.3139898261142704</v>
      </c>
    </row>
    <row r="23" spans="2:8" ht="18" x14ac:dyDescent="0.4">
      <c r="B23" s="104"/>
      <c r="C23" s="111">
        <v>0.9</v>
      </c>
      <c r="D23" s="41">
        <f>($D$5*$C$23)-($D$4*$D$13)</f>
        <v>206118.75400000066</v>
      </c>
      <c r="E23" s="40">
        <f>($D$5*$C$23)-($D$4*$E$13)</f>
        <v>712572.44700000063</v>
      </c>
      <c r="F23" s="39">
        <f>($D$5*$C$23)-($D$4*$F$13)</f>
        <v>1219026.1400000006</v>
      </c>
      <c r="G23" s="40">
        <f>($D$5*$C$23)-($D$4*$G$13)</f>
        <v>1725479.8330000006</v>
      </c>
      <c r="H23" s="39">
        <f>($D$5*$C$23)-($D$4*$H$13)</f>
        <v>2231933.5260000005</v>
      </c>
    </row>
    <row r="24" spans="2:8" ht="18" x14ac:dyDescent="0.4">
      <c r="B24" s="104"/>
      <c r="C24" s="111"/>
      <c r="D24" s="44">
        <f>($D$5*$C$23)/($D$4*$D$13)-1</f>
        <v>1.8499291055080302E-2</v>
      </c>
      <c r="E24" s="47">
        <f>($D$5*$C$23)/($D$4*$E$13)-1</f>
        <v>6.6999257295798476E-2</v>
      </c>
      <c r="F24" s="42">
        <f>($D$5*$C$23)/($D$4*$F$13)-1</f>
        <v>0.12034922016058847</v>
      </c>
      <c r="G24" s="47">
        <f>($D$5*$C$23)/($D$4*$G$13)-1</f>
        <v>0.17931496859009299</v>
      </c>
      <c r="H24" s="42">
        <f>($D$5*$C$23)/($D$4*$H$13)-1</f>
        <v>0.2448324668450983</v>
      </c>
    </row>
  </sheetData>
  <mergeCells count="14">
    <mergeCell ref="B15:B24"/>
    <mergeCell ref="B12:C14"/>
    <mergeCell ref="D13:D14"/>
    <mergeCell ref="E13:E14"/>
    <mergeCell ref="C23:C24"/>
    <mergeCell ref="C15:C16"/>
    <mergeCell ref="C17:C18"/>
    <mergeCell ref="C19:C20"/>
    <mergeCell ref="C21:C22"/>
    <mergeCell ref="F13:F14"/>
    <mergeCell ref="G13:G14"/>
    <mergeCell ref="H13:H14"/>
    <mergeCell ref="D12:H12"/>
    <mergeCell ref="B1:H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110" orientation="landscape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3</vt:i4>
      </vt:variant>
    </vt:vector>
  </HeadingPairs>
  <TitlesOfParts>
    <vt:vector size="7" baseType="lpstr">
      <vt:lpstr>נתונים</vt:lpstr>
      <vt:lpstr>עלויות</vt:lpstr>
      <vt:lpstr>הכנסות</vt:lpstr>
      <vt:lpstr>רווח בפרויקט + רגישות</vt:lpstr>
      <vt:lpstr>הכנסות!WPrint_Area_W</vt:lpstr>
      <vt:lpstr>נתונים!WPrint_Area_W</vt:lpstr>
      <vt:lpstr>עלויות!WPrint_Area_W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Tetro</dc:creator>
  <cp:lastModifiedBy>KKD Windows8 V.4_x64</cp:lastModifiedBy>
  <cp:lastPrinted>2013-02-02T22:04:24Z</cp:lastPrinted>
  <dcterms:created xsi:type="dcterms:W3CDTF">2012-06-27T18:12:11Z</dcterms:created>
  <dcterms:modified xsi:type="dcterms:W3CDTF">2018-05-20T17:07:27Z</dcterms:modified>
</cp:coreProperties>
</file>